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INF_FINANCIERA\"/>
    </mc:Choice>
  </mc:AlternateContent>
  <xr:revisionPtr revIDLastSave="0" documentId="8_{DF580AA7-DA8F-4531-98D8-89644A37F27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" l="1"/>
  <c r="Q46" i="1"/>
  <c r="R46" i="1"/>
  <c r="O35" i="1" l="1"/>
  <c r="O25" i="1"/>
  <c r="O20" i="1"/>
  <c r="O17" i="1"/>
  <c r="O14" i="1"/>
  <c r="O8" i="1"/>
  <c r="N25" i="1"/>
  <c r="N20" i="1"/>
  <c r="N17" i="1"/>
  <c r="N14" i="1"/>
  <c r="N8" i="1"/>
  <c r="M17" i="1"/>
  <c r="N35" i="1" l="1"/>
  <c r="L17" i="1"/>
  <c r="P17" i="1"/>
  <c r="Q17" i="1"/>
  <c r="L14" i="1"/>
  <c r="X74" i="1" l="1"/>
  <c r="AK6" i="1"/>
  <c r="AJ6" i="1"/>
  <c r="AI6" i="1"/>
  <c r="AH6" i="1"/>
  <c r="AG6" i="1"/>
  <c r="AL6" i="1"/>
  <c r="AM6" i="1"/>
  <c r="AN6" i="1"/>
  <c r="U83" i="1" l="1"/>
  <c r="T83" i="1"/>
  <c r="T46" i="1"/>
  <c r="U46" i="1"/>
  <c r="S46" i="1"/>
  <c r="AF93" i="1" l="1"/>
  <c r="AF91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5" i="1"/>
  <c r="AF34" i="1"/>
  <c r="AF33" i="1"/>
  <c r="AF32" i="1"/>
  <c r="AE31" i="1"/>
  <c r="AF31" i="1"/>
  <c r="AF30" i="1"/>
  <c r="AF29" i="1"/>
  <c r="AF28" i="1"/>
  <c r="AF27" i="1"/>
  <c r="AF26" i="1"/>
  <c r="AF25" i="1"/>
  <c r="AF23" i="1"/>
  <c r="AF22" i="1"/>
  <c r="AF21" i="1"/>
  <c r="AF20" i="1"/>
  <c r="AF18" i="1"/>
  <c r="AF17" i="1"/>
  <c r="AF16" i="1"/>
  <c r="AF15" i="1"/>
  <c r="AF14" i="1"/>
  <c r="AF13" i="1"/>
  <c r="AF12" i="1"/>
  <c r="AF11" i="1"/>
  <c r="AF10" i="1"/>
  <c r="AF8" i="1"/>
  <c r="M65" i="1"/>
  <c r="N65" i="1"/>
  <c r="O65" i="1"/>
  <c r="P65" i="1"/>
  <c r="Q65" i="1"/>
  <c r="R65" i="1"/>
  <c r="S65" i="1"/>
  <c r="T65" i="1"/>
  <c r="U65" i="1"/>
  <c r="V65" i="1"/>
  <c r="W65" i="1"/>
  <c r="L65" i="1"/>
  <c r="L75" i="1"/>
  <c r="C75" i="1"/>
  <c r="D75" i="1"/>
  <c r="E75" i="1"/>
  <c r="X18" i="1" l="1"/>
  <c r="X47" i="1"/>
  <c r="AN47" i="1" l="1"/>
  <c r="AE93" i="1"/>
  <c r="AE91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5" i="1"/>
  <c r="AE33" i="1"/>
  <c r="AE32" i="1"/>
  <c r="AE30" i="1"/>
  <c r="AE29" i="1"/>
  <c r="AE28" i="1"/>
  <c r="AE27" i="1"/>
  <c r="AE26" i="1"/>
  <c r="AE25" i="1"/>
  <c r="AE23" i="1"/>
  <c r="AE22" i="1"/>
  <c r="AE21" i="1"/>
  <c r="AE20" i="1"/>
  <c r="AE18" i="1"/>
  <c r="AE17" i="1"/>
  <c r="AE16" i="1"/>
  <c r="AE15" i="1"/>
  <c r="AE14" i="1"/>
  <c r="AE13" i="1"/>
  <c r="AE12" i="1"/>
  <c r="AE11" i="1"/>
  <c r="AE10" i="1"/>
  <c r="AE8" i="1"/>
  <c r="AN18" i="1" l="1"/>
  <c r="AN34" i="1"/>
  <c r="AM93" i="1"/>
  <c r="AN90" i="1"/>
  <c r="AN92" i="1"/>
  <c r="AM17" i="1"/>
  <c r="AM13" i="1"/>
  <c r="AM23" i="1"/>
  <c r="AM31" i="1"/>
  <c r="AM43" i="1"/>
  <c r="AM51" i="1"/>
  <c r="AM62" i="1"/>
  <c r="AM73" i="1"/>
  <c r="AM76" i="1"/>
  <c r="AM8" i="1"/>
  <c r="AM16" i="1"/>
  <c r="AM26" i="1"/>
  <c r="AM34" i="1"/>
  <c r="AM46" i="1"/>
  <c r="AM48" i="1"/>
  <c r="AM59" i="1"/>
  <c r="AM70" i="1"/>
  <c r="AM85" i="1"/>
  <c r="AM9" i="1"/>
  <c r="AM27" i="1"/>
  <c r="AM39" i="1"/>
  <c r="AM47" i="1"/>
  <c r="AM55" i="1"/>
  <c r="AM58" i="1"/>
  <c r="AM69" i="1"/>
  <c r="AM86" i="1"/>
  <c r="AM12" i="1"/>
  <c r="AM22" i="1"/>
  <c r="AM30" i="1"/>
  <c r="AM42" i="1"/>
  <c r="AM52" i="1"/>
  <c r="AM63" i="1"/>
  <c r="AM66" i="1"/>
  <c r="AM75" i="1"/>
  <c r="AM89" i="1"/>
  <c r="AM90" i="1"/>
  <c r="AM10" i="1"/>
  <c r="AM18" i="1"/>
  <c r="AM20" i="1"/>
  <c r="AM28" i="1"/>
  <c r="AM32" i="1"/>
  <c r="AM40" i="1"/>
  <c r="AM44" i="1"/>
  <c r="AM54" i="1"/>
  <c r="AM50" i="1"/>
  <c r="AM56" i="1"/>
  <c r="AM61" i="1"/>
  <c r="AM57" i="1"/>
  <c r="AM72" i="1"/>
  <c r="AM68" i="1"/>
  <c r="AM83" i="1"/>
  <c r="AM87" i="1"/>
  <c r="AM91" i="1"/>
  <c r="AM11" i="1"/>
  <c r="AM15" i="1"/>
  <c r="AM21" i="1"/>
  <c r="AM25" i="1"/>
  <c r="AM29" i="1"/>
  <c r="AM33" i="1"/>
  <c r="AM41" i="1"/>
  <c r="AM45" i="1"/>
  <c r="AM53" i="1"/>
  <c r="AM49" i="1"/>
  <c r="AM64" i="1"/>
  <c r="AM60" i="1"/>
  <c r="AM65" i="1"/>
  <c r="AM71" i="1"/>
  <c r="AM67" i="1"/>
  <c r="AM84" i="1"/>
  <c r="AM88" i="1"/>
  <c r="X73" i="1"/>
  <c r="AN73" i="1" s="1"/>
  <c r="X72" i="1"/>
  <c r="AN72" i="1" s="1"/>
  <c r="X71" i="1"/>
  <c r="AN71" i="1" s="1"/>
  <c r="X70" i="1"/>
  <c r="AN70" i="1" s="1"/>
  <c r="X69" i="1"/>
  <c r="AN69" i="1" s="1"/>
  <c r="X68" i="1"/>
  <c r="AN68" i="1" s="1"/>
  <c r="X67" i="1"/>
  <c r="AN67" i="1" s="1"/>
  <c r="X64" i="1"/>
  <c r="AN64" i="1" s="1"/>
  <c r="X63" i="1"/>
  <c r="AN63" i="1" s="1"/>
  <c r="X62" i="1"/>
  <c r="AN62" i="1" s="1"/>
  <c r="X61" i="1"/>
  <c r="AN61" i="1" s="1"/>
  <c r="X60" i="1"/>
  <c r="AN60" i="1" s="1"/>
  <c r="X59" i="1"/>
  <c r="AN59" i="1" s="1"/>
  <c r="X58" i="1"/>
  <c r="AN58" i="1" s="1"/>
  <c r="X57" i="1"/>
  <c r="AN57" i="1" s="1"/>
  <c r="X56" i="1"/>
  <c r="AN56" i="1" s="1"/>
  <c r="X54" i="1"/>
  <c r="AN54" i="1" s="1"/>
  <c r="X52" i="1"/>
  <c r="AN52" i="1" s="1"/>
  <c r="X51" i="1"/>
  <c r="AN51" i="1" s="1"/>
  <c r="X50" i="1"/>
  <c r="AN50" i="1" s="1"/>
  <c r="X49" i="1"/>
  <c r="AN49" i="1" s="1"/>
  <c r="X48" i="1"/>
  <c r="AN48" i="1" s="1"/>
  <c r="X45" i="1"/>
  <c r="AN45" i="1" s="1"/>
  <c r="X44" i="1"/>
  <c r="AN44" i="1" s="1"/>
  <c r="X43" i="1"/>
  <c r="AN43" i="1" s="1"/>
  <c r="X42" i="1"/>
  <c r="AN42" i="1" s="1"/>
  <c r="X41" i="1"/>
  <c r="AN41" i="1" s="1"/>
  <c r="X40" i="1"/>
  <c r="AN40" i="1" s="1"/>
  <c r="X33" i="1"/>
  <c r="AN33" i="1" s="1"/>
  <c r="X28" i="1"/>
  <c r="AN28" i="1" s="1"/>
  <c r="X27" i="1"/>
  <c r="AN27" i="1" s="1"/>
  <c r="X26" i="1"/>
  <c r="AN26" i="1" s="1"/>
  <c r="X23" i="1"/>
  <c r="AN23" i="1" s="1"/>
  <c r="X22" i="1"/>
  <c r="AN22" i="1" s="1"/>
  <c r="X21" i="1"/>
  <c r="AN21" i="1" s="1"/>
  <c r="X16" i="1"/>
  <c r="AN16" i="1" s="1"/>
  <c r="X15" i="1"/>
  <c r="AN15" i="1" s="1"/>
  <c r="X13" i="1"/>
  <c r="AN13" i="1" s="1"/>
  <c r="X12" i="1"/>
  <c r="AN12" i="1" s="1"/>
  <c r="X11" i="1"/>
  <c r="AN11" i="1" s="1"/>
  <c r="X10" i="1"/>
  <c r="AN10" i="1" s="1"/>
  <c r="X66" i="1"/>
  <c r="AN66" i="1" s="1"/>
  <c r="X24" i="1"/>
  <c r="X30" i="1" l="1"/>
  <c r="AN30" i="1" s="1"/>
  <c r="Y30" i="1" l="1"/>
  <c r="L85" i="1" l="1"/>
  <c r="M85" i="1"/>
  <c r="M79" i="1" l="1"/>
  <c r="L79" i="1"/>
  <c r="V79" i="1" l="1"/>
  <c r="W79" i="1"/>
  <c r="U79" i="1" l="1"/>
  <c r="U75" i="1"/>
  <c r="X53" i="1" l="1"/>
  <c r="AN53" i="1" s="1"/>
  <c r="X32" i="1"/>
  <c r="AN32" i="1" s="1"/>
  <c r="T85" i="1"/>
  <c r="T79" i="1"/>
  <c r="T75" i="1"/>
  <c r="T55" i="1"/>
  <c r="T39" i="1"/>
  <c r="T96" i="1" l="1"/>
  <c r="T91" i="1"/>
  <c r="X90" i="1"/>
  <c r="X87" i="1"/>
  <c r="AN87" i="1" s="1"/>
  <c r="X82" i="1"/>
  <c r="AN82" i="1" s="1"/>
  <c r="X81" i="1"/>
  <c r="AN81" i="1" s="1"/>
  <c r="R79" i="1"/>
  <c r="S79" i="1"/>
  <c r="V46" i="1"/>
  <c r="W46" i="1"/>
  <c r="U36" i="1"/>
  <c r="V36" i="1" s="1"/>
  <c r="W36" i="1" s="1"/>
  <c r="U37" i="1"/>
  <c r="V37" i="1" s="1"/>
  <c r="W37" i="1" s="1"/>
  <c r="H29" i="1"/>
  <c r="G29" i="1"/>
  <c r="F29" i="1"/>
  <c r="E29" i="1"/>
  <c r="D29" i="1"/>
  <c r="S85" i="1"/>
  <c r="S83" i="1"/>
  <c r="S75" i="1"/>
  <c r="S55" i="1"/>
  <c r="S39" i="1"/>
  <c r="S31" i="1"/>
  <c r="S25" i="1"/>
  <c r="S20" i="1"/>
  <c r="S17" i="1"/>
  <c r="S14" i="1"/>
  <c r="S8" i="1"/>
  <c r="T14" i="1"/>
  <c r="T17" i="1"/>
  <c r="T20" i="1"/>
  <c r="T25" i="1"/>
  <c r="T31" i="1"/>
  <c r="S96" i="1" l="1"/>
  <c r="S91" i="1"/>
  <c r="S95" i="1"/>
  <c r="S35" i="1"/>
  <c r="AD93" i="1"/>
  <c r="AD91" i="1"/>
  <c r="AD89" i="1"/>
  <c r="AD88" i="1"/>
  <c r="AD85" i="1"/>
  <c r="AD87" i="1"/>
  <c r="AD86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5" i="1"/>
  <c r="AD30" i="1"/>
  <c r="AD29" i="1"/>
  <c r="AD28" i="1"/>
  <c r="AD27" i="1"/>
  <c r="AD26" i="1"/>
  <c r="AD25" i="1"/>
  <c r="AD23" i="1"/>
  <c r="AD22" i="1"/>
  <c r="AD21" i="1"/>
  <c r="AD20" i="1"/>
  <c r="AD18" i="1"/>
  <c r="AD17" i="1"/>
  <c r="AD16" i="1"/>
  <c r="AD15" i="1"/>
  <c r="AD14" i="1"/>
  <c r="AD13" i="1"/>
  <c r="AD12" i="1"/>
  <c r="AD11" i="1"/>
  <c r="AD10" i="1"/>
  <c r="AD9" i="1"/>
  <c r="AD8" i="1"/>
  <c r="AD7" i="1"/>
  <c r="S97" i="1" l="1"/>
  <c r="S99" i="1"/>
  <c r="S93" i="1"/>
  <c r="S98" i="1" l="1"/>
  <c r="Q79" i="1" l="1"/>
  <c r="P79" i="1"/>
  <c r="O79" i="1"/>
  <c r="N79" i="1"/>
  <c r="X80" i="1" s="1"/>
  <c r="AN80" i="1" s="1"/>
  <c r="X78" i="1"/>
  <c r="AN78" i="1" s="1"/>
  <c r="X79" i="1" l="1"/>
  <c r="AN79" i="1" s="1"/>
  <c r="X77" i="1"/>
  <c r="AN77" i="1" s="1"/>
  <c r="M25" i="1"/>
  <c r="P25" i="1"/>
  <c r="Q25" i="1"/>
  <c r="R25" i="1"/>
  <c r="U25" i="1"/>
  <c r="V25" i="1"/>
  <c r="W25" i="1"/>
  <c r="M83" i="1"/>
  <c r="N83" i="1"/>
  <c r="O83" i="1"/>
  <c r="P83" i="1"/>
  <c r="Q83" i="1"/>
  <c r="R83" i="1"/>
  <c r="V83" i="1"/>
  <c r="W83" i="1"/>
  <c r="N85" i="1"/>
  <c r="O85" i="1"/>
  <c r="P85" i="1"/>
  <c r="Q85" i="1"/>
  <c r="R85" i="1"/>
  <c r="U85" i="1"/>
  <c r="V85" i="1"/>
  <c r="W85" i="1"/>
  <c r="M75" i="1"/>
  <c r="N75" i="1"/>
  <c r="O75" i="1"/>
  <c r="P75" i="1"/>
  <c r="Q75" i="1"/>
  <c r="R75" i="1"/>
  <c r="V75" i="1"/>
  <c r="W75" i="1"/>
  <c r="N55" i="1"/>
  <c r="O55" i="1"/>
  <c r="P55" i="1"/>
  <c r="Q55" i="1"/>
  <c r="R55" i="1"/>
  <c r="U55" i="1"/>
  <c r="V55" i="1"/>
  <c r="W55" i="1"/>
  <c r="M46" i="1"/>
  <c r="N46" i="1"/>
  <c r="O46" i="1"/>
  <c r="N39" i="1"/>
  <c r="O39" i="1"/>
  <c r="P39" i="1"/>
  <c r="Q39" i="1"/>
  <c r="R39" i="1"/>
  <c r="U39" i="1"/>
  <c r="V39" i="1"/>
  <c r="W39" i="1"/>
  <c r="P31" i="1"/>
  <c r="Q31" i="1"/>
  <c r="R31" i="1"/>
  <c r="U31" i="1"/>
  <c r="V31" i="1"/>
  <c r="W31" i="1"/>
  <c r="P20" i="1"/>
  <c r="Q20" i="1"/>
  <c r="R20" i="1"/>
  <c r="U20" i="1"/>
  <c r="V20" i="1"/>
  <c r="W20" i="1"/>
  <c r="R17" i="1"/>
  <c r="V17" i="1"/>
  <c r="W17" i="1"/>
  <c r="P14" i="1"/>
  <c r="Q14" i="1"/>
  <c r="R14" i="1"/>
  <c r="U14" i="1"/>
  <c r="V14" i="1"/>
  <c r="W14" i="1"/>
  <c r="P8" i="1"/>
  <c r="Q8" i="1"/>
  <c r="R8" i="1"/>
  <c r="U8" i="1"/>
  <c r="V8" i="1"/>
  <c r="W8" i="1"/>
  <c r="O96" i="1" l="1"/>
  <c r="R91" i="1"/>
  <c r="N96" i="1"/>
  <c r="Q96" i="1"/>
  <c r="O91" i="1"/>
  <c r="P91" i="1"/>
  <c r="Q91" i="1"/>
  <c r="P96" i="1"/>
  <c r="N91" i="1"/>
  <c r="W91" i="1"/>
  <c r="U91" i="1"/>
  <c r="U96" i="1"/>
  <c r="V91" i="1"/>
  <c r="X86" i="1"/>
  <c r="AN86" i="1" s="1"/>
  <c r="W96" i="1"/>
  <c r="W35" i="1"/>
  <c r="U35" i="1"/>
  <c r="V35" i="1"/>
  <c r="U95" i="1"/>
  <c r="O95" i="1"/>
  <c r="V96" i="1"/>
  <c r="Q95" i="1"/>
  <c r="W95" i="1"/>
  <c r="V95" i="1"/>
  <c r="P95" i="1"/>
  <c r="M55" i="1"/>
  <c r="R95" i="1"/>
  <c r="R96" i="1"/>
  <c r="Q35" i="1"/>
  <c r="N95" i="1"/>
  <c r="P35" i="1"/>
  <c r="R35" i="1"/>
  <c r="V97" i="1" l="1"/>
  <c r="W97" i="1"/>
  <c r="N97" i="1"/>
  <c r="U97" i="1"/>
  <c r="O97" i="1"/>
  <c r="Q97" i="1"/>
  <c r="P97" i="1"/>
  <c r="U93" i="1"/>
  <c r="R97" i="1"/>
  <c r="W93" i="1"/>
  <c r="Q93" i="1"/>
  <c r="P93" i="1"/>
  <c r="O93" i="1"/>
  <c r="R93" i="1"/>
  <c r="N93" i="1"/>
  <c r="V93" i="1"/>
  <c r="M39" i="1"/>
  <c r="M96" i="1" s="1"/>
  <c r="M31" i="1"/>
  <c r="M20" i="1"/>
  <c r="M14" i="1"/>
  <c r="M8" i="1"/>
  <c r="O98" i="1" l="1"/>
  <c r="M91" i="1"/>
  <c r="N98" i="1"/>
  <c r="R98" i="1"/>
  <c r="Q98" i="1"/>
  <c r="P98" i="1"/>
  <c r="W98" i="1"/>
  <c r="V98" i="1"/>
  <c r="U98" i="1"/>
  <c r="M95" i="1"/>
  <c r="M97" i="1" s="1"/>
  <c r="M35" i="1"/>
  <c r="AM36" i="1"/>
  <c r="AK9" i="1"/>
  <c r="AL93" i="1" l="1"/>
  <c r="AL8" i="1"/>
  <c r="AL10" i="1"/>
  <c r="AL18" i="1"/>
  <c r="AL26" i="1"/>
  <c r="AL34" i="1"/>
  <c r="AL42" i="1"/>
  <c r="AL50" i="1"/>
  <c r="AL58" i="1"/>
  <c r="AL66" i="1"/>
  <c r="AL75" i="1"/>
  <c r="AL89" i="1"/>
  <c r="AL13" i="1"/>
  <c r="AL21" i="1"/>
  <c r="AL29" i="1"/>
  <c r="AL37" i="1"/>
  <c r="AL45" i="1"/>
  <c r="AL53" i="1"/>
  <c r="AL61" i="1"/>
  <c r="AL69" i="1"/>
  <c r="AL84" i="1"/>
  <c r="AL92" i="1"/>
  <c r="AL14" i="1"/>
  <c r="AL22" i="1"/>
  <c r="AL30" i="1"/>
  <c r="AL38" i="1"/>
  <c r="AL46" i="1"/>
  <c r="AL54" i="1"/>
  <c r="AL62" i="1"/>
  <c r="AL70" i="1"/>
  <c r="AL85" i="1"/>
  <c r="AL9" i="1"/>
  <c r="AL17" i="1"/>
  <c r="AL25" i="1"/>
  <c r="AL33" i="1"/>
  <c r="AL41" i="1"/>
  <c r="AL49" i="1"/>
  <c r="AL57" i="1"/>
  <c r="AL65" i="1"/>
  <c r="AL73" i="1"/>
  <c r="AL88" i="1"/>
  <c r="M93" i="1"/>
  <c r="AL11" i="1"/>
  <c r="AL15" i="1"/>
  <c r="AL19" i="1"/>
  <c r="AL23" i="1"/>
  <c r="AL27" i="1"/>
  <c r="AL31" i="1"/>
  <c r="AL35" i="1"/>
  <c r="AL39" i="1"/>
  <c r="AL43" i="1"/>
  <c r="AL47" i="1"/>
  <c r="AL51" i="1"/>
  <c r="AL55" i="1"/>
  <c r="AL59" i="1"/>
  <c r="AL63" i="1"/>
  <c r="AL67" i="1"/>
  <c r="AL71" i="1"/>
  <c r="AL76" i="1"/>
  <c r="AL86" i="1"/>
  <c r="AL90" i="1"/>
  <c r="AM38" i="1"/>
  <c r="AL12" i="1"/>
  <c r="AL16" i="1"/>
  <c r="AL20" i="1"/>
  <c r="AL24" i="1"/>
  <c r="AL28" i="1"/>
  <c r="AL32" i="1"/>
  <c r="AL36" i="1"/>
  <c r="AL40" i="1"/>
  <c r="AL44" i="1"/>
  <c r="AL48" i="1"/>
  <c r="AL52" i="1"/>
  <c r="AL56" i="1"/>
  <c r="AL60" i="1"/>
  <c r="AL64" i="1"/>
  <c r="AL68" i="1"/>
  <c r="AL72" i="1"/>
  <c r="AL83" i="1"/>
  <c r="AL87" i="1"/>
  <c r="AL91" i="1"/>
  <c r="AE38" i="1"/>
  <c r="AE36" i="1"/>
  <c r="AE34" i="1"/>
  <c r="X85" i="1"/>
  <c r="AN85" i="1" s="1"/>
  <c r="L83" i="1"/>
  <c r="X65" i="1"/>
  <c r="AN65" i="1" s="1"/>
  <c r="L55" i="1"/>
  <c r="X55" i="1" s="1"/>
  <c r="AN55" i="1" s="1"/>
  <c r="L46" i="1"/>
  <c r="L39" i="1"/>
  <c r="L31" i="1"/>
  <c r="X31" i="1" s="1"/>
  <c r="AN31" i="1" s="1"/>
  <c r="L25" i="1"/>
  <c r="X25" i="1" s="1"/>
  <c r="AN25" i="1" s="1"/>
  <c r="L20" i="1"/>
  <c r="X17" i="1"/>
  <c r="AN17" i="1" s="1"/>
  <c r="L8" i="1"/>
  <c r="L96" i="1" l="1"/>
  <c r="L91" i="1"/>
  <c r="X83" i="1"/>
  <c r="AN83" i="1" s="1"/>
  <c r="X84" i="1"/>
  <c r="AN84" i="1" s="1"/>
  <c r="X88" i="1"/>
  <c r="AN88" i="1" s="1"/>
  <c r="X89" i="1"/>
  <c r="AN89" i="1" s="1"/>
  <c r="X75" i="1"/>
  <c r="AN75" i="1" s="1"/>
  <c r="X76" i="1"/>
  <c r="AN76" i="1" s="1"/>
  <c r="L35" i="1"/>
  <c r="X46" i="1"/>
  <c r="AN46" i="1" s="1"/>
  <c r="L95" i="1"/>
  <c r="L93" i="1" l="1"/>
  <c r="X91" i="1"/>
  <c r="AN91" i="1" s="1"/>
  <c r="X92" i="1"/>
  <c r="L97" i="1"/>
  <c r="L98" i="1" l="1"/>
  <c r="AC29" i="1" l="1"/>
  <c r="AE92" i="1" l="1"/>
  <c r="AM92" i="1"/>
  <c r="AK93" i="1" l="1"/>
  <c r="AK91" i="1"/>
  <c r="AK90" i="1"/>
  <c r="AK89" i="1"/>
  <c r="AK88" i="1"/>
  <c r="AK86" i="1"/>
  <c r="AK85" i="1"/>
  <c r="AK84" i="1"/>
  <c r="AK83" i="1"/>
  <c r="AK76" i="1"/>
  <c r="AK75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 s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8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30" i="1"/>
  <c r="AC31" i="1"/>
  <c r="AC32" i="1"/>
  <c r="AC33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5" i="1"/>
  <c r="AC76" i="1"/>
  <c r="AC83" i="1"/>
  <c r="AC84" i="1"/>
  <c r="AC85" i="1"/>
  <c r="AC86" i="1"/>
  <c r="AC88" i="1"/>
  <c r="AC89" i="1"/>
  <c r="AC91" i="1"/>
  <c r="AC93" i="1"/>
  <c r="X1" i="1"/>
  <c r="X19" i="1"/>
  <c r="AN19" i="1" s="1"/>
  <c r="X9" i="1"/>
  <c r="AN9" i="1" s="1"/>
  <c r="AE90" i="1" l="1"/>
  <c r="AE9" i="1"/>
  <c r="AE19" i="1"/>
  <c r="AM19" i="1"/>
  <c r="AM24" i="1"/>
  <c r="X20" i="1"/>
  <c r="AN20" i="1" s="1"/>
  <c r="X14" i="1"/>
  <c r="AN14" i="1" s="1"/>
  <c r="X29" i="1"/>
  <c r="AN29" i="1" s="1"/>
  <c r="AM14" i="1" l="1"/>
  <c r="AB89" i="1" l="1"/>
  <c r="AB88" i="1"/>
  <c r="AB86" i="1"/>
  <c r="AB84" i="1"/>
  <c r="AB76" i="1"/>
  <c r="AB75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3" i="1"/>
  <c r="AB32" i="1"/>
  <c r="AB30" i="1"/>
  <c r="AB29" i="1" s="1"/>
  <c r="AB28" i="1"/>
  <c r="AB27" i="1"/>
  <c r="AB26" i="1"/>
  <c r="AB25" i="1"/>
  <c r="AB24" i="1"/>
  <c r="AB23" i="1"/>
  <c r="AB22" i="1"/>
  <c r="AB21" i="1"/>
  <c r="AB19" i="1"/>
  <c r="AB18" i="1"/>
  <c r="AB17" i="1"/>
  <c r="AB14" i="1"/>
  <c r="AB9" i="1"/>
  <c r="F20" i="1"/>
  <c r="AJ20" i="1" s="1"/>
  <c r="E20" i="1"/>
  <c r="D20" i="1"/>
  <c r="C20" i="1"/>
  <c r="AJ92" i="1"/>
  <c r="AJ89" i="1"/>
  <c r="AJ88" i="1"/>
  <c r="AJ86" i="1"/>
  <c r="AJ84" i="1"/>
  <c r="AJ76" i="1"/>
  <c r="AJ75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6" i="1"/>
  <c r="AJ33" i="1"/>
  <c r="AJ32" i="1"/>
  <c r="AJ30" i="1"/>
  <c r="AJ29" i="1" s="1"/>
  <c r="AJ28" i="1"/>
  <c r="AJ27" i="1"/>
  <c r="AJ26" i="1"/>
  <c r="AJ25" i="1"/>
  <c r="AJ24" i="1"/>
  <c r="AJ23" i="1"/>
  <c r="AJ22" i="1"/>
  <c r="AJ21" i="1"/>
  <c r="AJ19" i="1"/>
  <c r="AJ18" i="1"/>
  <c r="AJ17" i="1"/>
  <c r="AJ16" i="1"/>
  <c r="AJ15" i="1"/>
  <c r="AJ14" i="1"/>
  <c r="AJ13" i="1"/>
  <c r="AJ12" i="1"/>
  <c r="AJ11" i="1"/>
  <c r="AJ10" i="1"/>
  <c r="AJ9" i="1"/>
  <c r="AB20" i="1" l="1"/>
  <c r="F8" i="1" l="1"/>
  <c r="AJ8" i="1" l="1"/>
  <c r="AB8" i="1"/>
  <c r="E17" i="1" l="1"/>
  <c r="AA17" i="1" s="1"/>
  <c r="D17" i="1"/>
  <c r="Z17" i="1" s="1"/>
  <c r="E88" i="1"/>
  <c r="AA88" i="1" s="1"/>
  <c r="D88" i="1"/>
  <c r="Z88" i="1" s="1"/>
  <c r="E85" i="1"/>
  <c r="AI85" i="1" s="1"/>
  <c r="D85" i="1"/>
  <c r="AH85" i="1" s="1"/>
  <c r="E83" i="1"/>
  <c r="AA83" i="1" s="1"/>
  <c r="D83" i="1"/>
  <c r="AH83" i="1" s="1"/>
  <c r="AI75" i="1"/>
  <c r="Z75" i="1"/>
  <c r="E65" i="1"/>
  <c r="AI65" i="1" s="1"/>
  <c r="D65" i="1"/>
  <c r="AH65" i="1" s="1"/>
  <c r="E55" i="1"/>
  <c r="AA55" i="1" s="1"/>
  <c r="D55" i="1"/>
  <c r="Z55" i="1" s="1"/>
  <c r="C88" i="1"/>
  <c r="AG88" i="1" s="1"/>
  <c r="C85" i="1"/>
  <c r="AG85" i="1" s="1"/>
  <c r="C83" i="1"/>
  <c r="AG83" i="1" s="1"/>
  <c r="AG75" i="1"/>
  <c r="C65" i="1"/>
  <c r="Y65" i="1" s="1"/>
  <c r="C55" i="1"/>
  <c r="AG55" i="1" s="1"/>
  <c r="E46" i="1"/>
  <c r="AA46" i="1" s="1"/>
  <c r="D46" i="1"/>
  <c r="AH46" i="1" s="1"/>
  <c r="C46" i="1"/>
  <c r="Y46" i="1" s="1"/>
  <c r="E39" i="1"/>
  <c r="D39" i="1"/>
  <c r="C39" i="1"/>
  <c r="Y39" i="1" s="1"/>
  <c r="C17" i="1"/>
  <c r="Y17" i="1" s="1"/>
  <c r="AI33" i="1"/>
  <c r="AH33" i="1"/>
  <c r="AI32" i="1"/>
  <c r="AH32" i="1"/>
  <c r="AI30" i="1"/>
  <c r="AI29" i="1" s="1"/>
  <c r="AH30" i="1"/>
  <c r="AH29" i="1" s="1"/>
  <c r="AI28" i="1"/>
  <c r="AH28" i="1"/>
  <c r="AI27" i="1"/>
  <c r="AH27" i="1"/>
  <c r="AI26" i="1"/>
  <c r="AH26" i="1"/>
  <c r="AI24" i="1"/>
  <c r="AH24" i="1"/>
  <c r="AI23" i="1"/>
  <c r="AH23" i="1"/>
  <c r="AI22" i="1"/>
  <c r="AH22" i="1"/>
  <c r="AI21" i="1"/>
  <c r="AH21" i="1"/>
  <c r="AI19" i="1"/>
  <c r="AH19" i="1"/>
  <c r="AI18" i="1"/>
  <c r="AH18" i="1"/>
  <c r="AI16" i="1"/>
  <c r="AH16" i="1"/>
  <c r="AI15" i="1"/>
  <c r="AH15" i="1"/>
  <c r="AI13" i="1"/>
  <c r="AH13" i="1"/>
  <c r="AI12" i="1"/>
  <c r="AH12" i="1"/>
  <c r="AI11" i="1"/>
  <c r="AH11" i="1"/>
  <c r="AI10" i="1"/>
  <c r="AH10" i="1"/>
  <c r="AG33" i="1"/>
  <c r="AG32" i="1"/>
  <c r="AG30" i="1"/>
  <c r="AG29" i="1" s="1"/>
  <c r="AG28" i="1"/>
  <c r="AG27" i="1"/>
  <c r="AG26" i="1"/>
  <c r="AG24" i="1"/>
  <c r="AG23" i="1"/>
  <c r="AG22" i="1"/>
  <c r="AG21" i="1"/>
  <c r="AG19" i="1"/>
  <c r="AG18" i="1"/>
  <c r="AG16" i="1"/>
  <c r="AG15" i="1"/>
  <c r="AG13" i="1"/>
  <c r="AG12" i="1"/>
  <c r="AG11" i="1"/>
  <c r="AG10" i="1"/>
  <c r="AA33" i="1"/>
  <c r="AA32" i="1"/>
  <c r="Z32" i="1"/>
  <c r="AA30" i="1"/>
  <c r="AA29" i="1" s="1"/>
  <c r="Z30" i="1"/>
  <c r="Z29" i="1" s="1"/>
  <c r="AA28" i="1"/>
  <c r="AA27" i="1"/>
  <c r="AA26" i="1"/>
  <c r="AA24" i="1"/>
  <c r="Z24" i="1"/>
  <c r="AA23" i="1"/>
  <c r="AA22" i="1"/>
  <c r="AA21" i="1"/>
  <c r="AA19" i="1"/>
  <c r="Z19" i="1"/>
  <c r="AA18" i="1"/>
  <c r="Y32" i="1"/>
  <c r="Y29" i="1"/>
  <c r="Y24" i="1"/>
  <c r="Y19" i="1"/>
  <c r="F31" i="1"/>
  <c r="E31" i="1"/>
  <c r="AI31" i="1" s="1"/>
  <c r="D31" i="1"/>
  <c r="AH31" i="1" s="1"/>
  <c r="E25" i="1"/>
  <c r="AI25" i="1" s="1"/>
  <c r="D25" i="1"/>
  <c r="AH25" i="1" s="1"/>
  <c r="AA20" i="1"/>
  <c r="Z20" i="1"/>
  <c r="E14" i="1"/>
  <c r="AI14" i="1" s="1"/>
  <c r="D14" i="1"/>
  <c r="AH14" i="1" s="1"/>
  <c r="C31" i="1"/>
  <c r="Y31" i="1" s="1"/>
  <c r="C25" i="1"/>
  <c r="Y25" i="1" s="1"/>
  <c r="Y20" i="1"/>
  <c r="C14" i="1"/>
  <c r="Y14" i="1" s="1"/>
  <c r="E8" i="1"/>
  <c r="C8" i="1"/>
  <c r="D8" i="1"/>
  <c r="D35" i="1" l="1"/>
  <c r="AJ31" i="1"/>
  <c r="AB31" i="1"/>
  <c r="F35" i="1"/>
  <c r="AB35" i="1" s="1"/>
  <c r="E35" i="1"/>
  <c r="Y8" i="1"/>
  <c r="C35" i="1"/>
  <c r="Y55" i="1"/>
  <c r="AH75" i="1"/>
  <c r="AI17" i="1"/>
  <c r="D91" i="1"/>
  <c r="AA75" i="1"/>
  <c r="AI88" i="1"/>
  <c r="Y88" i="1"/>
  <c r="Z85" i="1"/>
  <c r="AA85" i="1"/>
  <c r="E91" i="1"/>
  <c r="C91" i="1"/>
  <c r="Z46" i="1"/>
  <c r="AH88" i="1"/>
  <c r="AI46" i="1"/>
  <c r="Z39" i="1"/>
  <c r="AG39" i="1"/>
  <c r="Z65" i="1"/>
  <c r="AH17" i="1"/>
  <c r="AA39" i="1"/>
  <c r="AG46" i="1"/>
  <c r="AH39" i="1"/>
  <c r="AA65" i="1"/>
  <c r="Y85" i="1"/>
  <c r="AI55" i="1"/>
  <c r="AI39" i="1"/>
  <c r="AI83" i="1"/>
  <c r="Z83" i="1"/>
  <c r="AH55" i="1"/>
  <c r="Y83" i="1"/>
  <c r="Y75" i="1"/>
  <c r="AG65" i="1"/>
  <c r="AH20" i="1"/>
  <c r="AG17" i="1"/>
  <c r="AG14" i="1"/>
  <c r="AG31" i="1"/>
  <c r="AI20" i="1"/>
  <c r="Z14" i="1"/>
  <c r="Z31" i="1"/>
  <c r="Z8" i="1"/>
  <c r="AA14" i="1"/>
  <c r="Z25" i="1"/>
  <c r="AA31" i="1"/>
  <c r="AG8" i="1"/>
  <c r="AG25" i="1"/>
  <c r="AH8" i="1"/>
  <c r="AA8" i="1"/>
  <c r="AA25" i="1"/>
  <c r="AI8" i="1"/>
  <c r="AG20" i="1"/>
  <c r="AJ35" i="1" l="1"/>
  <c r="AI89" i="1"/>
  <c r="AH89" i="1"/>
  <c r="AG89" i="1"/>
  <c r="AI86" i="1"/>
  <c r="AH86" i="1"/>
  <c r="AG86" i="1"/>
  <c r="AI84" i="1"/>
  <c r="AH84" i="1"/>
  <c r="AG84" i="1"/>
  <c r="AI76" i="1"/>
  <c r="AH76" i="1"/>
  <c r="AG76" i="1"/>
  <c r="AI73" i="1"/>
  <c r="AH73" i="1"/>
  <c r="AG73" i="1"/>
  <c r="AI72" i="1"/>
  <c r="AH72" i="1"/>
  <c r="AG72" i="1"/>
  <c r="AI71" i="1"/>
  <c r="AH71" i="1"/>
  <c r="AG71" i="1"/>
  <c r="AI70" i="1"/>
  <c r="AH70" i="1"/>
  <c r="AG70" i="1"/>
  <c r="AI69" i="1"/>
  <c r="AH69" i="1"/>
  <c r="AG69" i="1"/>
  <c r="AI68" i="1"/>
  <c r="AH68" i="1"/>
  <c r="AG68" i="1"/>
  <c r="AI67" i="1"/>
  <c r="AH67" i="1"/>
  <c r="AG67" i="1"/>
  <c r="AI66" i="1"/>
  <c r="AH66" i="1"/>
  <c r="AG66" i="1"/>
  <c r="AI64" i="1"/>
  <c r="AH64" i="1"/>
  <c r="AG64" i="1"/>
  <c r="AI63" i="1"/>
  <c r="AH63" i="1"/>
  <c r="AG63" i="1"/>
  <c r="AI62" i="1"/>
  <c r="AH62" i="1"/>
  <c r="AG62" i="1"/>
  <c r="AI61" i="1"/>
  <c r="AH61" i="1"/>
  <c r="AG61" i="1"/>
  <c r="AI60" i="1"/>
  <c r="AH60" i="1"/>
  <c r="AG60" i="1"/>
  <c r="AI59" i="1"/>
  <c r="AH59" i="1"/>
  <c r="AG59" i="1"/>
  <c r="AI58" i="1"/>
  <c r="AH58" i="1"/>
  <c r="AG58" i="1"/>
  <c r="AI57" i="1"/>
  <c r="AH57" i="1"/>
  <c r="AG57" i="1"/>
  <c r="AI56" i="1"/>
  <c r="AH56" i="1"/>
  <c r="AG56" i="1"/>
  <c r="AI54" i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I35" i="1"/>
  <c r="AI9" i="1"/>
  <c r="Z89" i="1" l="1"/>
  <c r="Y89" i="1"/>
  <c r="Z86" i="1"/>
  <c r="Y86" i="1"/>
  <c r="Z84" i="1"/>
  <c r="Y84" i="1"/>
  <c r="Z76" i="1"/>
  <c r="Y76" i="1"/>
  <c r="AA89" i="1"/>
  <c r="AA86" i="1"/>
  <c r="AA84" i="1"/>
  <c r="AA76" i="1"/>
  <c r="AA73" i="1"/>
  <c r="AA72" i="1"/>
  <c r="AA71" i="1"/>
  <c r="AA70" i="1"/>
  <c r="AA69" i="1"/>
  <c r="AA68" i="1"/>
  <c r="AA67" i="1"/>
  <c r="AA66" i="1"/>
  <c r="AA64" i="1"/>
  <c r="AA63" i="1"/>
  <c r="AA62" i="1"/>
  <c r="AA61" i="1"/>
  <c r="AA60" i="1"/>
  <c r="AA59" i="1"/>
  <c r="AA58" i="1"/>
  <c r="AA57" i="1"/>
  <c r="AA56" i="1"/>
  <c r="AA54" i="1"/>
  <c r="AA53" i="1"/>
  <c r="AA52" i="1"/>
  <c r="AA51" i="1"/>
  <c r="AA50" i="1"/>
  <c r="AA49" i="1"/>
  <c r="AA48" i="1"/>
  <c r="AA47" i="1"/>
  <c r="AA45" i="1"/>
  <c r="AA44" i="1"/>
  <c r="AA43" i="1"/>
  <c r="AA42" i="1"/>
  <c r="AA41" i="1"/>
  <c r="AA40" i="1"/>
  <c r="AA35" i="1"/>
  <c r="AA9" i="1"/>
  <c r="E93" i="1" l="1"/>
  <c r="AI91" i="1"/>
  <c r="AA91" i="1"/>
  <c r="AH9" i="1"/>
  <c r="AG9" i="1"/>
  <c r="AA93" i="1" l="1"/>
  <c r="AI93" i="1"/>
  <c r="F83" i="1" l="1"/>
  <c r="AB83" i="1" s="1"/>
  <c r="F85" i="1"/>
  <c r="AB85" i="1" s="1"/>
  <c r="AJ85" i="1" l="1"/>
  <c r="AJ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J91" i="1" l="1"/>
  <c r="AB91" i="1"/>
  <c r="K145" i="2"/>
  <c r="L145" i="2"/>
  <c r="M145" i="2"/>
  <c r="N145" i="2"/>
  <c r="O145" i="2"/>
  <c r="J145" i="2"/>
  <c r="AH91" i="1" l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5" i="1"/>
  <c r="Y45" i="1"/>
  <c r="Z44" i="1"/>
  <c r="Y44" i="1"/>
  <c r="Z43" i="1"/>
  <c r="Y43" i="1"/>
  <c r="Z42" i="1"/>
  <c r="Y42" i="1"/>
  <c r="Z41" i="1"/>
  <c r="Y41" i="1"/>
  <c r="Z40" i="1"/>
  <c r="Y40" i="1"/>
  <c r="Z9" i="1"/>
  <c r="Y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Z91" i="1" l="1"/>
  <c r="AH35" i="1" l="1"/>
  <c r="AG91" i="1"/>
  <c r="AG35" i="1"/>
  <c r="Y35" i="1" l="1"/>
  <c r="Y91" i="1"/>
  <c r="D93" i="1"/>
  <c r="AH93" i="1" s="1"/>
  <c r="Z35" i="1"/>
  <c r="C93" i="1"/>
  <c r="AG93" i="1" s="1"/>
  <c r="F93" i="1" l="1"/>
  <c r="Z93" i="1"/>
  <c r="Y93" i="1"/>
  <c r="AJ93" i="1" l="1"/>
  <c r="AB93" i="1"/>
  <c r="T8" i="1"/>
  <c r="T95" i="1" l="1"/>
  <c r="T35" i="1"/>
  <c r="T93" i="1" s="1"/>
  <c r="X93" i="1" s="1"/>
  <c r="AN93" i="1" s="1"/>
  <c r="X8" i="1"/>
  <c r="AN8" i="1" l="1"/>
  <c r="X35" i="1"/>
  <c r="AN35" i="1" s="1"/>
  <c r="X95" i="1"/>
  <c r="AM37" i="1"/>
  <c r="AE37" i="1"/>
  <c r="T97" i="1"/>
  <c r="X39" i="1"/>
  <c r="AN39" i="1" l="1"/>
  <c r="X96" i="1"/>
  <c r="X97" i="1" s="1"/>
  <c r="AM35" i="1"/>
  <c r="T99" i="1"/>
  <c r="T98" i="1"/>
  <c r="X98" i="1" l="1"/>
  <c r="W101" i="1"/>
</calcChain>
</file>

<file path=xl/sharedStrings.xml><?xml version="1.0" encoding="utf-8"?>
<sst xmlns="http://schemas.openxmlformats.org/spreadsheetml/2006/main" count="1029" uniqueCount="286">
  <si>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</si>
  <si>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</si>
  <si>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</si>
  <si>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</si>
  <si>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</si>
  <si>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</si>
  <si>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</si>
  <si>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</si>
  <si>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</si>
  <si>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</si>
  <si>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</si>
  <si>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</si>
  <si>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</si>
  <si>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</si>
  <si>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</si>
  <si>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</si>
  <si>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</si>
  <si>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</si>
  <si>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</si>
  <si>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</si>
  <si>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</si>
  <si>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</si>
  <si>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</si>
  <si>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</si>
  <si>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</si>
  <si>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</si>
  <si>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</si>
  <si>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</si>
  <si>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</si>
  <si>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</si>
  <si>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</si>
  <si>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</si>
  <si>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</si>
  <si>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</si>
  <si>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</si>
  <si>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</si>
  <si>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</si>
  <si>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</si>
  <si>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</si>
  <si>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</si>
  <si>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</si>
  <si>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</si>
  <si>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</si>
  <si>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</si>
  <si>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</si>
  <si>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</si>
  <si>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</si>
  <si>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</si>
  <si>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</si>
  <si>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</si>
  <si>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</si>
  <si>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</si>
  <si>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</si>
  <si>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</si>
  <si>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</si>
  <si>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</si>
  <si>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</si>
  <si>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</si>
  <si>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</si>
  <si>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</si>
  <si>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</si>
  <si>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</si>
  <si>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</si>
  <si>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</si>
  <si>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</si>
  <si>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</si>
  <si>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</si>
  <si>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</si>
  <si>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</si>
  <si>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</si>
  <si>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</si>
  <si>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</si>
  <si>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</si>
  <si>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</si>
  <si>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</si>
  <si>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</si>
  <si>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</si>
  <si>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</si>
  <si>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</si>
  <si>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</si>
  <si>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</si>
  <si>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</si>
  <si>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</si>
  <si>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</si>
  <si>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</si>
  <si>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</si>
  <si>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</si>
  <si>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</si>
  <si>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</si>
  <si>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</si>
  <si>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</si>
  <si>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</si>
  <si>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</si>
  <si>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</si>
  <si>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</si>
  <si>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</si>
  <si>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</si>
  <si>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</si>
  <si>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</si>
  <si>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</si>
  <si>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</si>
  <si>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</si>
  <si>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</si>
  <si>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</si>
  <si>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</si>
  <si>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</si>
  <si>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</si>
  <si>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</si>
  <si>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</si>
  <si>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</si>
  <si>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</si>
  <si>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</si>
  <si>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</si>
  <si>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</si>
  <si>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</si>
  <si>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</si>
  <si>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</si>
  <si>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</si>
  <si>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</si>
  <si>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</si>
  <si>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</si>
  <si>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</si>
  <si>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</si>
  <si>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</si>
  <si>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</si>
  <si>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</si>
  <si>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</si>
  <si>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</si>
  <si>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</si>
  <si>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</si>
  <si>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</si>
  <si>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</si>
  <si>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</si>
  <si>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</si>
  <si>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</si>
  <si>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</si>
  <si>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</si>
  <si>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</si>
  <si>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</si>
  <si>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</si>
  <si>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</si>
  <si>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</si>
  <si>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</si>
  <si>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</si>
  <si>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</si>
  <si>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</si>
  <si>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</si>
  <si>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</si>
  <si>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</si>
  <si>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</si>
  <si>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</si>
  <si>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</si>
  <si>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</si>
  <si>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</si>
  <si>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</si>
  <si>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</si>
  <si>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</si>
  <si>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</si>
  <si>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</si>
  <si>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</si>
  <si>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</si>
  <si>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</si>
  <si>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</si>
  <si>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</si>
  <si>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</si>
  <si>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</si>
  <si>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</si>
  <si>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</si>
  <si>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</si>
  <si>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</si>
  <si>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</si>
  <si>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</si>
  <si>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</si>
  <si>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</si>
  <si>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</si>
  <si>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</si>
  <si>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</si>
  <si>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</si>
  <si>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</si>
  <si>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</si>
  <si>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</si>
  <si>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</si>
  <si>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</si>
  <si>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</si>
  <si>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</si>
  <si>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</si>
  <si>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</si>
  <si>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</si>
  <si>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</si>
  <si>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</si>
  <si>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</si>
  <si>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</si>
  <si>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</si>
  <si>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</si>
  <si>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</si>
  <si>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</si>
  <si>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</si>
  <si>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</si>
  <si>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</si>
  <si>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</si>
  <si>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</si>
  <si>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</si>
  <si>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</si>
  <si>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</si>
  <si>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</si>
  <si>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</si>
  <si>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</si>
  <si>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</si>
  <si>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</si>
  <si>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</si>
  <si>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</si>
  <si>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</si>
  <si>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</si>
  <si>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</si>
  <si>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</si>
  <si>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</si>
  <si>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</si>
  <si>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</si>
  <si>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</si>
  <si>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</si>
  <si>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</si>
  <si>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</si>
  <si>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</si>
  <si>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</si>
  <si>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</si>
  <si>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</si>
  <si>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</si>
  <si>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</si>
  <si>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</si>
  <si>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</si>
  <si>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</si>
  <si>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</si>
  <si>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</si>
  <si>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</si>
  <si>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</si>
  <si>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</si>
  <si>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</si>
  <si>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</si>
  <si>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</si>
  <si>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</si>
  <si>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</si>
  <si>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</si>
  <si>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</si>
  <si>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</si>
  <si>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</si>
  <si>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</si>
  <si>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</si>
  <si>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</si>
  <si>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</si>
  <si>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</si>
  <si>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</si>
  <si>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</si>
  <si>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</si>
  <si>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</si>
  <si>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</si>
  <si>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</si>
  <si>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</si>
  <si>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</si>
  <si>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</si>
  <si>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</si>
  <si>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</si>
  <si>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</si>
  <si>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</si>
  <si>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</si>
  <si>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</si>
  <si>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</si>
  <si>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</si>
  <si>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</si>
  <si>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</si>
  <si>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</si>
  <si>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</si>
  <si>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</si>
  <si>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Saldos actualizados con el INPC base 2018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</si>
  <si>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</si>
  <si>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</si>
  <si>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</si>
  <si>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</si>
  <si>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</si>
  <si>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</si>
  <si>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Acumulado a Diciembre</t>
  </si>
  <si>
    <t>Cierre 2019</t>
  </si>
  <si>
    <t>Cierre 2020</t>
  </si>
  <si>
    <t>Saldos actualizados con el INPC a Diciembre 2020  (109.271)</t>
  </si>
  <si>
    <t>5281 DONATIVOS A INSTITUCIONES SIN FINES DE LUCRO</t>
  </si>
  <si>
    <t>Cierre 2021</t>
  </si>
  <si>
    <t>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</si>
</sst>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3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3" fillId="4" borderId="11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10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/>
    <xf numFmtId="0" fontId="3" fillId="7" borderId="10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7" borderId="18" xfId="1" applyFont="1" applyFill="1" applyBorder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43" fontId="17" fillId="7" borderId="12" xfId="1" applyFont="1" applyFill="1" applyBorder="1"/>
    <xf numFmtId="43" fontId="18" fillId="7" borderId="12" xfId="1" applyFont="1" applyFill="1" applyBorder="1"/>
    <xf numFmtId="43" fontId="2" fillId="7" borderId="14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2" xfId="1" applyFont="1" applyFill="1" applyBorder="1"/>
    <xf numFmtId="164" fontId="3" fillId="6" borderId="21" xfId="1" applyNumberFormat="1" applyFont="1" applyFill="1" applyBorder="1" applyAlignment="1">
      <alignment horizontal="center"/>
    </xf>
    <xf numFmtId="43" fontId="18" fillId="6" borderId="23" xfId="1" applyFont="1" applyFill="1" applyBorder="1"/>
    <xf numFmtId="43" fontId="18" fillId="6" borderId="24" xfId="1" applyFont="1" applyFill="1" applyBorder="1"/>
    <xf numFmtId="43" fontId="17" fillId="6" borderId="24" xfId="1" applyFont="1" applyFill="1" applyBorder="1"/>
    <xf numFmtId="43" fontId="4" fillId="6" borderId="24" xfId="1" applyFont="1" applyFill="1" applyBorder="1"/>
    <xf numFmtId="43" fontId="2" fillId="6" borderId="25" xfId="1" applyFont="1" applyFill="1" applyBorder="1"/>
    <xf numFmtId="43" fontId="4" fillId="6" borderId="26" xfId="1" applyFont="1" applyFill="1" applyBorder="1"/>
    <xf numFmtId="43" fontId="19" fillId="6" borderId="26" xfId="1" applyFont="1" applyFill="1" applyBorder="1"/>
    <xf numFmtId="43" fontId="16" fillId="6" borderId="26" xfId="1" applyFont="1" applyFill="1" applyBorder="1"/>
    <xf numFmtId="43" fontId="4" fillId="6" borderId="28" xfId="1" applyFont="1" applyFill="1" applyBorder="1"/>
    <xf numFmtId="164" fontId="3" fillId="3" borderId="21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43" fontId="7" fillId="6" borderId="0" xfId="1" applyFont="1" applyFill="1" applyBorder="1"/>
    <xf numFmtId="43" fontId="21" fillId="2" borderId="0" xfId="1" applyFont="1" applyFill="1" applyBorder="1"/>
    <xf numFmtId="43" fontId="20" fillId="3" borderId="29" xfId="1" applyFont="1" applyFill="1" applyBorder="1"/>
    <xf numFmtId="43" fontId="20" fillId="6" borderId="2" xfId="1" applyFont="1" applyFill="1" applyBorder="1"/>
    <xf numFmtId="43" fontId="23" fillId="3" borderId="29" xfId="1" applyFont="1" applyFill="1" applyBorder="1"/>
    <xf numFmtId="43" fontId="22" fillId="6" borderId="0" xfId="1" applyFont="1" applyFill="1" applyBorder="1"/>
    <xf numFmtId="43" fontId="3" fillId="8" borderId="11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43" fontId="4" fillId="7" borderId="30" xfId="1" applyFont="1" applyFill="1" applyBorder="1"/>
    <xf numFmtId="0" fontId="20" fillId="0" borderId="0" xfId="0" applyFont="1" applyAlignment="1">
      <alignment wrapText="1"/>
    </xf>
    <xf numFmtId="43" fontId="3" fillId="6" borderId="27" xfId="1" applyFont="1" applyFill="1" applyBorder="1"/>
    <xf numFmtId="43" fontId="3" fillId="0" borderId="0" xfId="1" applyNumberFormat="1" applyFont="1" applyAlignment="1">
      <alignment horizontal="center"/>
    </xf>
    <xf numFmtId="0" fontId="3" fillId="6" borderId="5" xfId="1" applyNumberFormat="1" applyFont="1" applyFill="1" applyBorder="1" applyAlignment="1">
      <alignment horizontal="center"/>
    </xf>
    <xf numFmtId="0" fontId="18" fillId="0" borderId="0" xfId="0" applyFont="1" applyBorder="1"/>
    <xf numFmtId="0" fontId="0" fillId="0" borderId="0" xfId="0" applyFont="1" applyBorder="1"/>
    <xf numFmtId="43" fontId="1" fillId="0" borderId="0" xfId="1" applyFont="1" applyBorder="1"/>
    <xf numFmtId="40" fontId="0" fillId="0" borderId="0" xfId="0" applyNumberFormat="1" applyFont="1" applyBorder="1"/>
    <xf numFmtId="0" fontId="24" fillId="0" borderId="0" xfId="0" applyFont="1" applyBorder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1" xfId="1" applyNumberFormat="1" applyFont="1" applyFill="1" applyBorder="1" applyAlignment="1">
      <alignment horizontal="center"/>
    </xf>
    <xf numFmtId="43" fontId="3" fillId="6" borderId="17" xfId="1" applyFont="1" applyFill="1" applyBorder="1"/>
    <xf numFmtId="43" fontId="3" fillId="6" borderId="31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28" fillId="7" borderId="12" xfId="1" applyFont="1" applyFill="1" applyBorder="1"/>
    <xf numFmtId="43" fontId="29" fillId="7" borderId="19" xfId="1" applyFont="1" applyFill="1" applyBorder="1"/>
    <xf numFmtId="43" fontId="3" fillId="9" borderId="0" xfId="1" applyFont="1" applyFill="1" applyBorder="1" applyAlignment="1">
      <alignment horizontal="center"/>
    </xf>
    <xf numFmtId="43" fontId="3" fillId="6" borderId="2" xfId="1" applyFont="1" applyFill="1" applyBorder="1"/>
    <xf numFmtId="43" fontId="4" fillId="6" borderId="2" xfId="1" applyFont="1" applyFill="1" applyBorder="1"/>
    <xf numFmtId="0" fontId="4" fillId="5" borderId="0" xfId="0" applyFont="1" applyFill="1" applyBorder="1"/>
    <xf numFmtId="0" fontId="4" fillId="0" borderId="0" xfId="0" applyFont="1" applyBorder="1" applyAlignment="1">
      <alignment wrapText="1"/>
    </xf>
    <xf numFmtId="43" fontId="29" fillId="7" borderId="12" xfId="1" applyFont="1" applyFill="1" applyBorder="1"/>
    <xf numFmtId="0" fontId="3" fillId="4" borderId="11" xfId="1" applyNumberFormat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43" fontId="0" fillId="10" borderId="7" xfId="1" applyFont="1" applyFill="1" applyBorder="1"/>
    <xf numFmtId="43" fontId="3" fillId="6" borderId="32" xfId="1" applyFont="1" applyFill="1" applyBorder="1"/>
    <xf numFmtId="43" fontId="3" fillId="8" borderId="18" xfId="1" applyFont="1" applyFill="1" applyBorder="1" applyAlignment="1">
      <alignment horizontal="center"/>
    </xf>
    <xf numFmtId="0" fontId="0" fillId="9" borderId="0" xfId="0" applyFill="1"/>
    <xf numFmtId="164" fontId="3" fillId="11" borderId="8" xfId="1" applyNumberFormat="1" applyFont="1" applyFill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164" fontId="31" fillId="11" borderId="6" xfId="1" applyNumberFormat="1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164" fontId="4" fillId="6" borderId="29" xfId="1" applyNumberFormat="1" applyFont="1" applyFill="1" applyBorder="1" applyAlignment="1">
      <alignment horizontal="center"/>
    </xf>
    <xf numFmtId="43" fontId="4" fillId="6" borderId="19" xfId="1" applyFont="1" applyFill="1" applyBorder="1"/>
    <xf numFmtId="43" fontId="17" fillId="6" borderId="19" xfId="1" applyFont="1" applyFill="1" applyBorder="1"/>
    <xf numFmtId="43" fontId="30" fillId="6" borderId="19" xfId="1" applyFont="1" applyFill="1" applyBorder="1"/>
    <xf numFmtId="43" fontId="29" fillId="6" borderId="19" xfId="1" applyFont="1" applyFill="1" applyBorder="1"/>
    <xf numFmtId="43" fontId="18" fillId="6" borderId="19" xfId="1" applyFont="1" applyFill="1" applyBorder="1"/>
    <xf numFmtId="43" fontId="2" fillId="6" borderId="20" xfId="1" applyFont="1" applyFill="1" applyBorder="1"/>
    <xf numFmtId="43" fontId="0" fillId="6" borderId="0" xfId="1" applyFont="1" applyFill="1"/>
    <xf numFmtId="43" fontId="2" fillId="6" borderId="0" xfId="1" applyFont="1" applyFill="1"/>
    <xf numFmtId="43" fontId="16" fillId="6" borderId="19" xfId="1" applyFont="1" applyFill="1" applyBorder="1"/>
    <xf numFmtId="43" fontId="15" fillId="6" borderId="0" xfId="1" applyFont="1" applyFill="1"/>
    <xf numFmtId="43" fontId="31" fillId="6" borderId="19" xfId="1" applyFont="1" applyFill="1" applyBorder="1"/>
    <xf numFmtId="43" fontId="3" fillId="6" borderId="20" xfId="1" applyFont="1" applyFill="1" applyBorder="1"/>
    <xf numFmtId="43" fontId="18" fillId="6" borderId="12" xfId="1" applyFont="1" applyFill="1" applyBorder="1"/>
    <xf numFmtId="43" fontId="30" fillId="6" borderId="0" xfId="1" applyFont="1" applyFill="1"/>
    <xf numFmtId="43" fontId="29" fillId="6" borderId="0" xfId="1" applyFont="1" applyFill="1"/>
    <xf numFmtId="43" fontId="2" fillId="6" borderId="14" xfId="1" applyFont="1" applyFill="1" applyBorder="1"/>
    <xf numFmtId="43" fontId="17" fillId="6" borderId="12" xfId="1" applyFont="1" applyFill="1" applyBorder="1"/>
    <xf numFmtId="43" fontId="29" fillId="6" borderId="12" xfId="1" applyFont="1" applyFill="1" applyBorder="1"/>
    <xf numFmtId="43" fontId="22" fillId="6" borderId="12" xfId="1" applyFont="1" applyFill="1" applyBorder="1"/>
    <xf numFmtId="0" fontId="0" fillId="6" borderId="19" xfId="0" applyFill="1" applyBorder="1"/>
    <xf numFmtId="43" fontId="32" fillId="6" borderId="19" xfId="1" applyFont="1" applyFill="1" applyBorder="1"/>
    <xf numFmtId="43" fontId="23" fillId="6" borderId="19" xfId="1" applyFont="1" applyFill="1" applyBorder="1"/>
    <xf numFmtId="43" fontId="2" fillId="6" borderId="22" xfId="1" applyFont="1" applyFill="1" applyBorder="1"/>
    <xf numFmtId="43" fontId="25" fillId="6" borderId="0" xfId="1" applyFont="1" applyFill="1"/>
    <xf numFmtId="43" fontId="33" fillId="6" borderId="0" xfId="1" applyFont="1" applyFill="1"/>
    <xf numFmtId="43" fontId="1" fillId="6" borderId="0" xfId="1" applyFont="1" applyFill="1"/>
    <xf numFmtId="43" fontId="26" fillId="6" borderId="19" xfId="1" applyFont="1" applyFill="1" applyBorder="1"/>
    <xf numFmtId="43" fontId="3" fillId="6" borderId="14" xfId="1" applyFont="1" applyFill="1" applyBorder="1"/>
    <xf numFmtId="43" fontId="2" fillId="6" borderId="7" xfId="1" applyFont="1" applyFill="1" applyBorder="1"/>
    <xf numFmtId="43" fontId="3" fillId="6" borderId="15" xfId="1" applyFont="1" applyFill="1" applyBorder="1"/>
    <xf numFmtId="43" fontId="3" fillId="3" borderId="31" xfId="1" applyFont="1" applyFill="1" applyBorder="1" applyAlignment="1">
      <alignment horizontal="center"/>
    </xf>
    <xf numFmtId="40" fontId="0" fillId="6" borderId="33" xfId="0" applyNumberFormat="1" applyFill="1" applyBorder="1"/>
    <xf numFmtId="0" fontId="3" fillId="4" borderId="11" xfId="1" applyNumberFormat="1" applyFont="1" applyFill="1" applyBorder="1" applyAlignment="1">
      <alignment horizontal="center"/>
    </xf>
    <xf numFmtId="0" fontId="0" fillId="11" borderId="13" xfId="0" applyFill="1" applyBorder="1"/>
    <xf numFmtId="43" fontId="0" fillId="6" borderId="7" xfId="1" applyFont="1" applyFill="1" applyBorder="1"/>
    <xf numFmtId="43" fontId="15" fillId="6" borderId="24" xfId="1" applyFont="1" applyFill="1" applyBorder="1"/>
    <xf numFmtId="43" fontId="5" fillId="0" borderId="0" xfId="1" applyFont="1" applyAlignment="1">
      <alignment horizontal="center"/>
    </xf>
    <xf numFmtId="0" fontId="3" fillId="7" borderId="8" xfId="1" applyNumberFormat="1" applyFont="1" applyFill="1" applyBorder="1" applyAlignment="1">
      <alignment horizontal="center"/>
    </xf>
    <xf numFmtId="0" fontId="3" fillId="7" borderId="11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9" borderId="12" xfId="1" applyFont="1" applyFill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43" fontId="3" fillId="8" borderId="8" xfId="1" applyFont="1" applyFill="1" applyBorder="1" applyAlignment="1">
      <alignment horizontal="center"/>
    </xf>
    <xf numFmtId="43" fontId="3" fillId="8" borderId="11" xfId="1" applyFont="1" applyFill="1" applyBorder="1" applyAlignment="1">
      <alignment horizontal="center"/>
    </xf>
    <xf numFmtId="43" fontId="3" fillId="8" borderId="9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51" t="s">
        <v>78</v>
      </c>
      <c r="K6" s="251"/>
      <c r="L6" s="251" t="s">
        <v>79</v>
      </c>
      <c r="M6" s="251"/>
      <c r="N6" s="251" t="s">
        <v>80</v>
      </c>
      <c r="O6" s="251"/>
      <c r="Q6" s="44" t="s">
        <v>77</v>
      </c>
      <c r="R6" s="251" t="s">
        <v>78</v>
      </c>
      <c r="S6" s="251"/>
      <c r="T6" s="251" t="s">
        <v>79</v>
      </c>
      <c r="U6" s="251"/>
      <c r="V6" s="251" t="s">
        <v>80</v>
      </c>
      <c r="W6" s="251"/>
      <c r="Y6" s="45"/>
      <c r="Z6" s="251" t="s">
        <v>78</v>
      </c>
      <c r="AA6" s="251"/>
      <c r="AB6" s="251" t="s">
        <v>79</v>
      </c>
      <c r="AC6" s="251"/>
      <c r="AD6" s="251" t="s">
        <v>80</v>
      </c>
      <c r="AE6" s="251"/>
      <c r="AG6" s="45"/>
      <c r="AH6" s="251" t="s">
        <v>78</v>
      </c>
      <c r="AI6" s="251"/>
      <c r="AJ6" s="251" t="s">
        <v>79</v>
      </c>
      <c r="AK6" s="251"/>
      <c r="AL6" s="251" t="s">
        <v>80</v>
      </c>
      <c r="AM6" s="251"/>
      <c r="AO6" s="46"/>
      <c r="AP6" s="251" t="s">
        <v>78</v>
      </c>
      <c r="AQ6" s="251"/>
      <c r="AR6" s="251" t="s">
        <v>79</v>
      </c>
      <c r="AS6" s="251"/>
      <c r="AT6" s="251" t="s">
        <v>80</v>
      </c>
      <c r="AU6" s="251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3" t="s">
        <v>81</v>
      </c>
      <c r="K7" s="33" t="s">
        <v>82</v>
      </c>
      <c r="L7" s="33" t="s">
        <v>81</v>
      </c>
      <c r="M7" s="33" t="s">
        <v>82</v>
      </c>
      <c r="N7" s="33" t="s">
        <v>81</v>
      </c>
      <c r="O7" s="33" t="s">
        <v>82</v>
      </c>
      <c r="Q7" s="40"/>
      <c r="R7" s="33" t="s">
        <v>81</v>
      </c>
      <c r="S7" s="33" t="s">
        <v>82</v>
      </c>
      <c r="T7" s="33" t="s">
        <v>81</v>
      </c>
      <c r="U7" s="33" t="s">
        <v>82</v>
      </c>
      <c r="V7" s="33" t="s">
        <v>81</v>
      </c>
      <c r="W7" s="33" t="s">
        <v>82</v>
      </c>
      <c r="Y7" s="5" t="s">
        <v>77</v>
      </c>
      <c r="Z7" s="33" t="s">
        <v>81</v>
      </c>
      <c r="AA7" s="33" t="s">
        <v>82</v>
      </c>
      <c r="AB7" s="33" t="s">
        <v>81</v>
      </c>
      <c r="AC7" s="33" t="s">
        <v>82</v>
      </c>
      <c r="AD7" s="33" t="s">
        <v>81</v>
      </c>
      <c r="AE7" s="33" t="s">
        <v>82</v>
      </c>
      <c r="AG7" s="5" t="s">
        <v>77</v>
      </c>
      <c r="AH7" s="33" t="s">
        <v>81</v>
      </c>
      <c r="AI7" s="33" t="s">
        <v>82</v>
      </c>
      <c r="AJ7" s="33" t="s">
        <v>81</v>
      </c>
      <c r="AK7" s="33" t="s">
        <v>82</v>
      </c>
      <c r="AL7" s="33" t="s">
        <v>81</v>
      </c>
      <c r="AM7" s="33" t="s">
        <v>82</v>
      </c>
      <c r="AO7" s="6" t="s">
        <v>77</v>
      </c>
      <c r="AP7" s="33" t="s">
        <v>81</v>
      </c>
      <c r="AQ7" s="33" t="s">
        <v>82</v>
      </c>
      <c r="AR7" s="33" t="s">
        <v>81</v>
      </c>
      <c r="AS7" s="33" t="s">
        <v>82</v>
      </c>
      <c r="AT7" s="33" t="s">
        <v>81</v>
      </c>
      <c r="AU7" s="33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3"/>
      <c r="K8" s="33"/>
      <c r="L8" s="33"/>
      <c r="M8" s="33"/>
      <c r="N8" s="33"/>
      <c r="O8" s="33"/>
      <c r="Q8" s="40"/>
      <c r="R8" s="33"/>
      <c r="S8" s="33"/>
      <c r="T8" s="33"/>
      <c r="U8" s="33"/>
      <c r="V8" s="33"/>
      <c r="W8" s="33"/>
      <c r="Y8" s="5"/>
      <c r="Z8" s="33"/>
      <c r="AA8" s="33"/>
      <c r="AB8" s="33"/>
      <c r="AC8" s="33"/>
      <c r="AD8" s="33"/>
      <c r="AE8" s="33"/>
      <c r="AG8" s="5"/>
      <c r="AH8" s="33"/>
      <c r="AI8" s="33"/>
      <c r="AJ8" s="33"/>
      <c r="AK8" s="33"/>
      <c r="AL8" s="33"/>
      <c r="AM8" s="33"/>
      <c r="AO8" s="6"/>
      <c r="AP8" s="33"/>
      <c r="AQ8" s="33"/>
      <c r="AR8" s="33"/>
      <c r="AS8" s="33"/>
      <c r="AT8" s="33"/>
      <c r="AU8" s="33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31"/>
  <sheetViews>
    <sheetView tabSelected="1" topLeftCell="A2" workbookViewId="0">
      <pane xSplit="1" ySplit="3" topLeftCell="L5" activePane="bottomRight" state="frozen"/>
      <selection activeCell="A2" sqref="A2"/>
      <selection pane="topRight" activeCell="B2" sqref="B2"/>
      <selection pane="bottomLeft" activeCell="A5" sqref="A5"/>
      <selection pane="bottomRight" activeCell="A2" sqref="A2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11" width="16.85546875" style="2" customWidth="1"/>
    <col min="12" max="17" width="17.42578125" style="2" customWidth="1"/>
    <col min="18" max="18" width="17.28515625" style="2" customWidth="1"/>
    <col min="19" max="23" width="17.42578125" style="2" customWidth="1"/>
    <col min="24" max="24" width="20.42578125" style="2" customWidth="1"/>
    <col min="25" max="28" width="15.85546875" style="2" customWidth="1"/>
    <col min="29" max="32" width="16" style="2" customWidth="1"/>
    <col min="33" max="33" width="16.85546875" customWidth="1"/>
    <col min="34" max="34" width="19.42578125" style="3" customWidth="1"/>
    <col min="35" max="36" width="16.85546875" style="3" customWidth="1"/>
    <col min="37" max="37" width="16.85546875" style="2" customWidth="1"/>
    <col min="38" max="38" width="17.7109375" style="11" customWidth="1"/>
    <col min="39" max="40" width="16.85546875" style="166" customWidth="1"/>
    <col min="41" max="41" width="17.85546875" customWidth="1"/>
    <col min="42" max="42" width="16.85546875" style="179" bestFit="1" customWidth="1"/>
    <col min="43" max="43" width="16.85546875" style="3" bestFit="1" customWidth="1"/>
    <col min="44" max="44" width="14.7109375" bestFit="1" customWidth="1"/>
  </cols>
  <sheetData>
    <row r="1" spans="1:43" x14ac:dyDescent="0.25">
      <c r="B1" s="19"/>
      <c r="X1" s="122">
        <f>+X28-X2</f>
        <v>2885846.8300000005</v>
      </c>
      <c r="Y1" s="122"/>
      <c r="Z1" s="122"/>
      <c r="AA1" s="122"/>
      <c r="AB1" s="122"/>
      <c r="AC1" s="122"/>
      <c r="AD1" s="122"/>
      <c r="AE1" s="122"/>
      <c r="AF1" s="122"/>
      <c r="AH1"/>
      <c r="AI1"/>
      <c r="AJ1"/>
      <c r="AK1" s="135"/>
    </row>
    <row r="2" spans="1:43" ht="16.5" thickBot="1" x14ac:dyDescent="0.3">
      <c r="A2" s="18" t="s">
        <v>0</v>
      </c>
      <c r="B2" s="19"/>
      <c r="E2" s="26"/>
      <c r="F2" s="124"/>
      <c r="L2" s="124"/>
      <c r="M2" s="124"/>
      <c r="N2" s="176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3"/>
      <c r="AA2" s="123"/>
      <c r="AB2" s="124"/>
      <c r="AC2" s="124"/>
      <c r="AD2" s="124"/>
      <c r="AE2" s="124"/>
      <c r="AF2" s="124"/>
      <c r="AJ2" s="124"/>
      <c r="AK2" s="124"/>
    </row>
    <row r="3" spans="1:43" ht="15.75" thickBot="1" x14ac:dyDescent="0.3">
      <c r="A3" s="18" t="s">
        <v>1</v>
      </c>
      <c r="B3" s="86"/>
      <c r="C3" s="254" t="s">
        <v>2</v>
      </c>
      <c r="D3" s="255"/>
      <c r="E3" s="255"/>
      <c r="F3" s="255"/>
      <c r="G3" s="255"/>
      <c r="H3" s="256"/>
      <c r="I3" s="190"/>
      <c r="J3" s="203"/>
      <c r="K3" s="247"/>
      <c r="L3" s="252" t="s">
        <v>285</v>
      </c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130" t="s">
        <v>279</v>
      </c>
      <c r="Y3" s="261" t="s">
        <v>232</v>
      </c>
      <c r="Z3" s="262"/>
      <c r="AA3" s="262"/>
      <c r="AB3" s="262"/>
      <c r="AC3" s="262"/>
      <c r="AD3" s="263"/>
      <c r="AE3" s="171"/>
      <c r="AF3" s="207"/>
      <c r="AG3" s="257" t="s">
        <v>282</v>
      </c>
      <c r="AH3" s="258"/>
      <c r="AI3" s="258"/>
      <c r="AJ3" s="258"/>
      <c r="AK3" s="258"/>
      <c r="AL3" s="258"/>
      <c r="AM3" s="258"/>
      <c r="AN3" s="197"/>
      <c r="AO3" s="208"/>
    </row>
    <row r="4" spans="1:43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88">
        <v>2018</v>
      </c>
      <c r="I4" s="88">
        <v>2019</v>
      </c>
      <c r="J4" s="88">
        <v>2020</v>
      </c>
      <c r="K4" s="88">
        <v>2021</v>
      </c>
      <c r="L4" s="139" t="s">
        <v>250</v>
      </c>
      <c r="M4" s="139" t="s">
        <v>251</v>
      </c>
      <c r="N4" s="139" t="s">
        <v>252</v>
      </c>
      <c r="O4" s="139" t="s">
        <v>253</v>
      </c>
      <c r="P4" s="139" t="s">
        <v>254</v>
      </c>
      <c r="Q4" s="139" t="s">
        <v>255</v>
      </c>
      <c r="R4" s="139" t="s">
        <v>257</v>
      </c>
      <c r="S4" s="139" t="s">
        <v>258</v>
      </c>
      <c r="T4" s="139" t="s">
        <v>259</v>
      </c>
      <c r="U4" s="139" t="s">
        <v>262</v>
      </c>
      <c r="V4" s="139" t="s">
        <v>263</v>
      </c>
      <c r="W4" s="139" t="s">
        <v>264</v>
      </c>
      <c r="X4" s="126">
        <v>2021</v>
      </c>
      <c r="Y4" s="24">
        <v>2013</v>
      </c>
      <c r="Z4" s="88">
        <v>2014</v>
      </c>
      <c r="AA4" s="88">
        <v>2015</v>
      </c>
      <c r="AB4" s="88">
        <v>2016</v>
      </c>
      <c r="AC4" s="88">
        <v>2017</v>
      </c>
      <c r="AD4" s="88">
        <v>2018</v>
      </c>
      <c r="AE4" s="88">
        <v>2019</v>
      </c>
      <c r="AF4" s="88">
        <v>2020</v>
      </c>
      <c r="AG4" s="88" t="s">
        <v>206</v>
      </c>
      <c r="AH4" s="88" t="s">
        <v>207</v>
      </c>
      <c r="AI4" s="88" t="s">
        <v>230</v>
      </c>
      <c r="AJ4" s="88" t="s">
        <v>248</v>
      </c>
      <c r="AK4" s="88" t="s">
        <v>261</v>
      </c>
      <c r="AL4" s="88" t="s">
        <v>265</v>
      </c>
      <c r="AM4" s="210" t="s">
        <v>280</v>
      </c>
      <c r="AN4" s="212" t="s">
        <v>281</v>
      </c>
      <c r="AO4" s="213" t="s">
        <v>284</v>
      </c>
    </row>
    <row r="5" spans="1:43" ht="17.25" thickBot="1" x14ac:dyDescent="0.4">
      <c r="A5" s="17" t="s">
        <v>4</v>
      </c>
      <c r="B5" s="27"/>
      <c r="C5" s="91"/>
      <c r="D5" s="92"/>
      <c r="E5" s="92"/>
      <c r="F5" s="92"/>
      <c r="G5" s="92"/>
      <c r="H5" s="92"/>
      <c r="I5" s="92"/>
      <c r="J5" s="92"/>
      <c r="K5" s="92"/>
      <c r="L5" s="147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45"/>
      <c r="Y5" s="91"/>
      <c r="Z5" s="92"/>
      <c r="AA5" s="92"/>
      <c r="AB5" s="92"/>
      <c r="AC5" s="92"/>
      <c r="AD5" s="92"/>
      <c r="AE5" s="177">
        <v>9</v>
      </c>
      <c r="AF5" s="177"/>
      <c r="AG5" s="34" t="s">
        <v>266</v>
      </c>
      <c r="AH5" s="34" t="s">
        <v>267</v>
      </c>
      <c r="AI5" s="34" t="s">
        <v>268</v>
      </c>
      <c r="AJ5" s="34" t="s">
        <v>269</v>
      </c>
      <c r="AK5" s="34" t="s">
        <v>270</v>
      </c>
      <c r="AL5" s="34" t="s">
        <v>273</v>
      </c>
      <c r="AM5" s="209">
        <v>105.934</v>
      </c>
      <c r="AN5" s="211">
        <v>109.271</v>
      </c>
      <c r="AO5" s="248">
        <v>117.30800000000001</v>
      </c>
    </row>
    <row r="6" spans="1:43" x14ac:dyDescent="0.25">
      <c r="B6" s="27"/>
      <c r="C6" s="89"/>
      <c r="D6" s="29"/>
      <c r="E6" s="29"/>
      <c r="F6" s="29"/>
      <c r="G6" s="29"/>
      <c r="H6" s="29"/>
      <c r="I6" s="29"/>
      <c r="J6" s="29"/>
      <c r="K6" s="29"/>
      <c r="L6" s="148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45"/>
      <c r="Y6" s="89"/>
      <c r="Z6" s="29"/>
      <c r="AA6" s="29"/>
      <c r="AB6" s="29"/>
      <c r="AC6" s="29"/>
      <c r="AD6" s="29"/>
      <c r="AE6" s="29"/>
      <c r="AF6" s="29"/>
      <c r="AG6" s="156">
        <f>AO5/83.7706</f>
        <v>1.4003480934838715</v>
      </c>
      <c r="AH6" s="146">
        <f>AO5/87.18898</f>
        <v>1.3454452615456678</v>
      </c>
      <c r="AI6" s="146">
        <f>AO5/89.04682</f>
        <v>1.3173743879904978</v>
      </c>
      <c r="AJ6" s="146">
        <f>AO5/92.03903</f>
        <v>1.2745462441314299</v>
      </c>
      <c r="AK6" s="146">
        <f>AO5/98.27288</f>
        <v>1.1936965722384447</v>
      </c>
      <c r="AL6" s="146">
        <f>AO5/103.02</f>
        <v>1.1386915162104447</v>
      </c>
      <c r="AM6" s="214">
        <f>AO5/AM5</f>
        <v>1.1073687390261862</v>
      </c>
      <c r="AN6" s="214">
        <f>AO5/109.271</f>
        <v>1.0735510794263803</v>
      </c>
      <c r="AO6" s="249">
        <v>1</v>
      </c>
    </row>
    <row r="7" spans="1:43" x14ac:dyDescent="0.25">
      <c r="A7" s="18" t="s">
        <v>5</v>
      </c>
      <c r="B7" s="27"/>
      <c r="C7" s="89"/>
      <c r="D7" s="29"/>
      <c r="E7" s="29"/>
      <c r="F7" s="29"/>
      <c r="G7" s="29"/>
      <c r="H7" s="29"/>
      <c r="I7" s="29"/>
      <c r="J7" s="29"/>
      <c r="K7" s="29"/>
      <c r="L7" s="148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45"/>
      <c r="Y7" s="89"/>
      <c r="Z7" s="29"/>
      <c r="AA7" s="29"/>
      <c r="AB7" s="29"/>
      <c r="AC7" s="29"/>
      <c r="AD7" s="29">
        <f>+H8/12</f>
        <v>26886360.000833333</v>
      </c>
      <c r="AE7" s="29"/>
      <c r="AF7" s="29"/>
      <c r="AG7" s="157"/>
      <c r="AH7" s="29"/>
      <c r="AI7" s="29"/>
      <c r="AJ7" s="29"/>
      <c r="AK7" s="29"/>
      <c r="AL7" s="29"/>
      <c r="AM7" s="215"/>
      <c r="AN7" s="29"/>
      <c r="AO7" s="234"/>
    </row>
    <row r="8" spans="1:43" s="99" customFormat="1" x14ac:dyDescent="0.25">
      <c r="A8" s="106" t="s">
        <v>234</v>
      </c>
      <c r="B8" s="107"/>
      <c r="C8" s="108">
        <f>SUM(C9:C13)</f>
        <v>214946371.92999998</v>
      </c>
      <c r="D8" s="109">
        <f>SUM(D9:D13)</f>
        <v>282382097.51999998</v>
      </c>
      <c r="E8" s="109">
        <f>SUM(E9:E13)</f>
        <v>311646227.29000002</v>
      </c>
      <c r="F8" s="109">
        <f>SUM(F9:F13)</f>
        <v>352368327.89999998</v>
      </c>
      <c r="G8" s="109">
        <v>316453108.44999999</v>
      </c>
      <c r="H8" s="109">
        <v>322636320.00999999</v>
      </c>
      <c r="I8" s="109">
        <v>318185545.47000003</v>
      </c>
      <c r="J8" s="109">
        <v>221192455.30000001</v>
      </c>
      <c r="K8" s="109">
        <v>389276726.77000004</v>
      </c>
      <c r="L8" s="149">
        <f>SUM(L10:L13)</f>
        <v>66982824.760000005</v>
      </c>
      <c r="M8" s="149">
        <f>SUM(M10:M13)</f>
        <v>67124688.409999996</v>
      </c>
      <c r="N8" s="149">
        <f>SUM(N10:N13)</f>
        <v>32008064.289999999</v>
      </c>
      <c r="O8" s="149">
        <f>SUM(O10:O13)</f>
        <v>19096013.310000002</v>
      </c>
      <c r="P8" s="149">
        <f t="shared" ref="P8:W8" si="0">SUM(P10:P13)</f>
        <v>20563631.340000004</v>
      </c>
      <c r="Q8" s="149">
        <f t="shared" si="0"/>
        <v>31668874.75</v>
      </c>
      <c r="R8" s="149">
        <f t="shared" si="0"/>
        <v>0</v>
      </c>
      <c r="S8" s="149">
        <f t="shared" ref="S8" si="1">SUM(S10:S13)</f>
        <v>0</v>
      </c>
      <c r="T8" s="149">
        <f t="shared" si="0"/>
        <v>0</v>
      </c>
      <c r="U8" s="149">
        <f t="shared" si="0"/>
        <v>0</v>
      </c>
      <c r="V8" s="149">
        <f t="shared" si="0"/>
        <v>0</v>
      </c>
      <c r="W8" s="149">
        <f t="shared" si="0"/>
        <v>0</v>
      </c>
      <c r="X8" s="136">
        <f t="shared" ref="X8:X33" si="2">SUM(L8:W8)</f>
        <v>237444096.86000001</v>
      </c>
      <c r="Y8" s="108">
        <f t="shared" ref="Y8:AA9" si="3">+C8/12</f>
        <v>17912197.660833333</v>
      </c>
      <c r="Z8" s="109">
        <f t="shared" si="3"/>
        <v>23531841.459999997</v>
      </c>
      <c r="AA8" s="109">
        <f t="shared" si="3"/>
        <v>25970518.940833334</v>
      </c>
      <c r="AB8" s="109">
        <f>F8/12</f>
        <v>29364027.324999999</v>
      </c>
      <c r="AC8" s="109">
        <f>G8/12</f>
        <v>26371092.370833334</v>
      </c>
      <c r="AD8" s="109">
        <f>H8/12</f>
        <v>26886360.000833333</v>
      </c>
      <c r="AE8" s="109">
        <f>I8/12</f>
        <v>26515462.122500002</v>
      </c>
      <c r="AF8" s="109">
        <f>J8/12</f>
        <v>18432704.608333334</v>
      </c>
      <c r="AG8" s="158">
        <f t="shared" ref="AG8:AG28" si="4">$AG$6*C8</f>
        <v>300999742.13345063</v>
      </c>
      <c r="AH8" s="109">
        <f t="shared" ref="AH8:AH28" si="5">$AH$6*D8</f>
        <v>379929655.05361062</v>
      </c>
      <c r="AI8" s="109">
        <f t="shared" ref="AI8:AI28" si="6">$AI$6*E8</f>
        <v>410554757.94571131</v>
      </c>
      <c r="AJ8" s="109">
        <f t="shared" ref="AJ8:AJ28" si="7">$AJ$6*$F8</f>
        <v>449109728.87581712</v>
      </c>
      <c r="AK8" s="109">
        <f t="shared" ref="AK8:AK28" si="8">$AK$6*G8</f>
        <v>377748990.83096582</v>
      </c>
      <c r="AL8" s="109">
        <f t="shared" ref="AL8:AL39" si="9">$AL$6*H8</f>
        <v>367383240.41674513</v>
      </c>
      <c r="AM8" s="216">
        <f t="shared" ref="AM8:AM13" si="10">$AM$6*I8</f>
        <v>352348726.26347315</v>
      </c>
      <c r="AN8" s="231">
        <f>$AN$6*X8</f>
        <v>254908366.48747501</v>
      </c>
      <c r="AO8" s="216">
        <v>389276726.77000004</v>
      </c>
      <c r="AP8" s="182"/>
      <c r="AQ8" s="186"/>
    </row>
    <row r="9" spans="1:43" s="105" customFormat="1" x14ac:dyDescent="0.25">
      <c r="A9" s="100" t="s">
        <v>6</v>
      </c>
      <c r="B9" s="101"/>
      <c r="C9" s="102">
        <v>8035180.5700000003</v>
      </c>
      <c r="D9" s="103">
        <v>7684140.5599999996</v>
      </c>
      <c r="E9" s="103">
        <v>7383353.7999999998</v>
      </c>
      <c r="F9" s="103">
        <v>10815978.029999999</v>
      </c>
      <c r="G9" s="103">
        <v>1196269.6599999997</v>
      </c>
      <c r="H9" s="103">
        <v>0</v>
      </c>
      <c r="I9" s="103"/>
      <c r="J9" s="103">
        <v>0</v>
      </c>
      <c r="K9" s="103">
        <v>0</v>
      </c>
      <c r="L9" s="148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37">
        <f t="shared" si="2"/>
        <v>0</v>
      </c>
      <c r="Y9" s="102">
        <f t="shared" si="3"/>
        <v>669598.38083333336</v>
      </c>
      <c r="Z9" s="103">
        <f t="shared" si="3"/>
        <v>640345.04666666663</v>
      </c>
      <c r="AA9" s="103">
        <f t="shared" si="3"/>
        <v>615279.48333333328</v>
      </c>
      <c r="AB9" s="103">
        <f>F9/12</f>
        <v>901331.50249999994</v>
      </c>
      <c r="AC9" s="103">
        <f>G9/12</f>
        <v>99689.138333333307</v>
      </c>
      <c r="AD9" s="103">
        <f>H9/12</f>
        <v>0</v>
      </c>
      <c r="AE9" s="103">
        <f>+X9/$AE$5</f>
        <v>0</v>
      </c>
      <c r="AF9" s="103"/>
      <c r="AG9" s="159">
        <f t="shared" si="4"/>
        <v>11252049.791998148</v>
      </c>
      <c r="AH9" s="103">
        <f t="shared" si="5"/>
        <v>10338590.505502874</v>
      </c>
      <c r="AI9" s="103">
        <f t="shared" si="6"/>
        <v>9726641.1935923155</v>
      </c>
      <c r="AJ9" s="103">
        <f t="shared" si="7"/>
        <v>13785464.174744561</v>
      </c>
      <c r="AK9" s="103">
        <f t="shared" si="8"/>
        <v>1427982.9926148492</v>
      </c>
      <c r="AL9" s="103">
        <f t="shared" si="9"/>
        <v>0</v>
      </c>
      <c r="AM9" s="217">
        <f t="shared" si="10"/>
        <v>0</v>
      </c>
      <c r="AN9" s="232">
        <f>$AM$6*X9</f>
        <v>0</v>
      </c>
      <c r="AO9" s="219">
        <v>0</v>
      </c>
      <c r="AP9" s="178"/>
      <c r="AQ9" s="187"/>
    </row>
    <row r="10" spans="1:43" s="105" customFormat="1" x14ac:dyDescent="0.25">
      <c r="A10" s="100" t="s">
        <v>7</v>
      </c>
      <c r="B10" s="101"/>
      <c r="C10" s="102">
        <v>132106640.62</v>
      </c>
      <c r="D10" s="103">
        <v>182265896.77000001</v>
      </c>
      <c r="E10" s="103">
        <v>211854820.74000001</v>
      </c>
      <c r="F10" s="103">
        <v>227038704.90000001</v>
      </c>
      <c r="G10" s="103">
        <v>208627180.25</v>
      </c>
      <c r="H10" s="103">
        <v>212561332.78999999</v>
      </c>
      <c r="I10" s="103">
        <v>208600892.91</v>
      </c>
      <c r="J10" s="103">
        <v>172156612.98999998</v>
      </c>
      <c r="K10" s="103">
        <v>260537257.84</v>
      </c>
      <c r="L10" s="148">
        <v>58623969.660000004</v>
      </c>
      <c r="M10" s="104">
        <v>58247498.57</v>
      </c>
      <c r="N10" s="104">
        <v>18211281.670000002</v>
      </c>
      <c r="O10" s="104">
        <v>12105434.74</v>
      </c>
      <c r="P10" s="104">
        <v>14009837.220000001</v>
      </c>
      <c r="Q10" s="104">
        <v>25078618.170000002</v>
      </c>
      <c r="R10" s="205"/>
      <c r="S10" s="205"/>
      <c r="T10" s="205"/>
      <c r="U10" s="205"/>
      <c r="V10" s="205"/>
      <c r="W10" s="205"/>
      <c r="X10" s="137">
        <f t="shared" ref="X10:X16" si="11">SUM(L10:W10)</f>
        <v>186276640.03000003</v>
      </c>
      <c r="Y10" s="102"/>
      <c r="Z10" s="103"/>
      <c r="AA10" s="103"/>
      <c r="AB10" s="103"/>
      <c r="AC10" s="103">
        <f t="shared" ref="AC10:AC18" si="12">G10/12</f>
        <v>17385598.354166668</v>
      </c>
      <c r="AD10" s="103">
        <f t="shared" ref="AD10:AD18" si="13">H10/12</f>
        <v>17713444.399166666</v>
      </c>
      <c r="AE10" s="103">
        <f t="shared" ref="AE10:AE18" si="14">I10/12</f>
        <v>17383407.7425</v>
      </c>
      <c r="AF10" s="103">
        <f t="shared" ref="AF10:AF18" si="15">J10/12</f>
        <v>14346384.415833332</v>
      </c>
      <c r="AG10" s="159">
        <f t="shared" si="4"/>
        <v>184995282.32877597</v>
      </c>
      <c r="AH10" s="103">
        <f t="shared" si="5"/>
        <v>245228787.15056834</v>
      </c>
      <c r="AI10" s="103">
        <f t="shared" si="6"/>
        <v>279092114.81519413</v>
      </c>
      <c r="AJ10" s="103">
        <f t="shared" si="7"/>
        <v>289371328.60275906</v>
      </c>
      <c r="AK10" s="103">
        <f t="shared" si="8"/>
        <v>249037549.94019714</v>
      </c>
      <c r="AL10" s="103">
        <f t="shared" si="9"/>
        <v>242041786.32235801</v>
      </c>
      <c r="AM10" s="218">
        <f t="shared" si="10"/>
        <v>230998107.74148318</v>
      </c>
      <c r="AN10" s="232">
        <f>$AN$6*X10</f>
        <v>199977487.97612581</v>
      </c>
      <c r="AO10" s="219">
        <v>260537257.84</v>
      </c>
      <c r="AP10" s="178"/>
      <c r="AQ10" s="187"/>
    </row>
    <row r="11" spans="1:43" s="105" customFormat="1" x14ac:dyDescent="0.25">
      <c r="A11" s="100" t="s">
        <v>233</v>
      </c>
      <c r="B11" s="101"/>
      <c r="C11" s="102">
        <v>45574107.289999999</v>
      </c>
      <c r="D11" s="103">
        <v>45636612.299999997</v>
      </c>
      <c r="E11" s="103">
        <v>43286285.170000002</v>
      </c>
      <c r="F11" s="103">
        <v>56126235.259999998</v>
      </c>
      <c r="G11" s="103">
        <v>58231517.350000001</v>
      </c>
      <c r="H11" s="103">
        <v>63407214.859999999</v>
      </c>
      <c r="I11" s="103">
        <v>62453232.700000003</v>
      </c>
      <c r="J11" s="103">
        <v>15726675.020000001</v>
      </c>
      <c r="K11" s="103">
        <v>73672162.37000002</v>
      </c>
      <c r="L11" s="148">
        <v>1052944.78</v>
      </c>
      <c r="M11" s="104"/>
      <c r="N11" s="104">
        <v>2640803.33</v>
      </c>
      <c r="O11" s="104">
        <v>2232581.5</v>
      </c>
      <c r="P11" s="104">
        <v>3556744.68</v>
      </c>
      <c r="Q11" s="104">
        <v>3177068.93</v>
      </c>
      <c r="R11" s="104"/>
      <c r="S11" s="104"/>
      <c r="T11" s="104"/>
      <c r="U11" s="104"/>
      <c r="V11" s="104"/>
      <c r="W11" s="104"/>
      <c r="X11" s="137">
        <f t="shared" si="11"/>
        <v>12660143.220000001</v>
      </c>
      <c r="Y11" s="102"/>
      <c r="Z11" s="103"/>
      <c r="AA11" s="103"/>
      <c r="AB11" s="103"/>
      <c r="AC11" s="103">
        <f t="shared" si="12"/>
        <v>4852626.4458333338</v>
      </c>
      <c r="AD11" s="103">
        <f t="shared" si="13"/>
        <v>5283934.5716666663</v>
      </c>
      <c r="AE11" s="103">
        <f t="shared" si="14"/>
        <v>5204436.0583333336</v>
      </c>
      <c r="AF11" s="103">
        <f t="shared" si="15"/>
        <v>1310556.2516666667</v>
      </c>
      <c r="AG11" s="159">
        <f t="shared" si="4"/>
        <v>63819614.255780905</v>
      </c>
      <c r="AH11" s="103">
        <f t="shared" si="5"/>
        <v>61401563.772031739</v>
      </c>
      <c r="AI11" s="103">
        <f t="shared" si="6"/>
        <v>57024243.434210911</v>
      </c>
      <c r="AJ11" s="103">
        <f t="shared" si="7"/>
        <v>71535482.347870022</v>
      </c>
      <c r="AK11" s="103">
        <f t="shared" si="8"/>
        <v>69510762.656938523</v>
      </c>
      <c r="AL11" s="103">
        <f t="shared" si="9"/>
        <v>72201257.627614841</v>
      </c>
      <c r="AM11" s="218">
        <f t="shared" si="10"/>
        <v>69158757.543107972</v>
      </c>
      <c r="AN11" s="232">
        <f t="shared" ref="AN11:AN13" si="16">$AN$6*X11</f>
        <v>13591310.419523571</v>
      </c>
      <c r="AO11" s="219">
        <v>73672162.37000002</v>
      </c>
      <c r="AP11" s="178"/>
      <c r="AQ11" s="187"/>
    </row>
    <row r="12" spans="1:43" s="105" customFormat="1" x14ac:dyDescent="0.25">
      <c r="A12" s="100" t="s">
        <v>8</v>
      </c>
      <c r="B12" s="101"/>
      <c r="C12" s="102"/>
      <c r="D12" s="103">
        <v>13138247.619999999</v>
      </c>
      <c r="E12" s="103">
        <v>10688209.5</v>
      </c>
      <c r="F12" s="103">
        <v>12194340.15</v>
      </c>
      <c r="G12" s="103">
        <v>6633727.5599999987</v>
      </c>
      <c r="H12" s="103">
        <v>6434127.2799999993</v>
      </c>
      <c r="I12" s="103">
        <v>3992714.22</v>
      </c>
      <c r="J12" s="103">
        <v>4448175</v>
      </c>
      <c r="K12" s="103">
        <v>6733611.3000000007</v>
      </c>
      <c r="L12" s="148">
        <v>763310.46</v>
      </c>
      <c r="M12" s="104">
        <v>1215749.02</v>
      </c>
      <c r="N12" s="104">
        <v>1495944.86</v>
      </c>
      <c r="O12" s="104">
        <v>577062.9</v>
      </c>
      <c r="P12" s="104">
        <v>459377.85000000003</v>
      </c>
      <c r="Q12" s="104">
        <v>421735.95</v>
      </c>
      <c r="R12" s="104"/>
      <c r="S12" s="104"/>
      <c r="T12" s="104"/>
      <c r="U12" s="104"/>
      <c r="V12" s="104"/>
      <c r="W12" s="104"/>
      <c r="X12" s="137">
        <f t="shared" si="11"/>
        <v>4933181.04</v>
      </c>
      <c r="Y12" s="102"/>
      <c r="Z12" s="103"/>
      <c r="AA12" s="103"/>
      <c r="AB12" s="103"/>
      <c r="AC12" s="103">
        <f t="shared" si="12"/>
        <v>552810.62999999989</v>
      </c>
      <c r="AD12" s="103">
        <f t="shared" si="13"/>
        <v>536177.27333333332</v>
      </c>
      <c r="AE12" s="103">
        <f t="shared" si="14"/>
        <v>332726.185</v>
      </c>
      <c r="AF12" s="103">
        <f t="shared" si="15"/>
        <v>370681.25</v>
      </c>
      <c r="AG12" s="159">
        <f t="shared" si="4"/>
        <v>0</v>
      </c>
      <c r="AH12" s="103">
        <f t="shared" si="5"/>
        <v>17676793.005342647</v>
      </c>
      <c r="AI12" s="103">
        <f t="shared" si="6"/>
        <v>14080373.448776724</v>
      </c>
      <c r="AJ12" s="103">
        <f t="shared" si="7"/>
        <v>15542250.437843598</v>
      </c>
      <c r="AK12" s="103">
        <f t="shared" si="8"/>
        <v>7918657.8495356999</v>
      </c>
      <c r="AL12" s="103">
        <f t="shared" si="9"/>
        <v>7326486.1479541836</v>
      </c>
      <c r="AM12" s="218">
        <f t="shared" si="10"/>
        <v>4421406.9110933226</v>
      </c>
      <c r="AN12" s="232">
        <f t="shared" si="16"/>
        <v>5296021.8304977529</v>
      </c>
      <c r="AO12" s="219">
        <v>6733611.3000000007</v>
      </c>
      <c r="AP12" s="178"/>
      <c r="AQ12" s="187"/>
    </row>
    <row r="13" spans="1:43" s="105" customFormat="1" x14ac:dyDescent="0.25">
      <c r="A13" s="100" t="s">
        <v>9</v>
      </c>
      <c r="B13" s="101"/>
      <c r="C13" s="102">
        <v>29230443.449999999</v>
      </c>
      <c r="D13" s="103">
        <v>33657200.270000003</v>
      </c>
      <c r="E13" s="103">
        <v>38433558.079999998</v>
      </c>
      <c r="F13" s="103">
        <v>46193069.560000002</v>
      </c>
      <c r="G13" s="103">
        <v>41764413.629999995</v>
      </c>
      <c r="H13" s="103">
        <v>40233645.079999991</v>
      </c>
      <c r="I13" s="103">
        <v>43138705.640000001</v>
      </c>
      <c r="J13" s="103">
        <v>28860992.290000003</v>
      </c>
      <c r="K13" s="103">
        <v>48333695.260000005</v>
      </c>
      <c r="L13" s="148">
        <v>6542599.8600000003</v>
      </c>
      <c r="M13" s="104">
        <v>7661440.8200000003</v>
      </c>
      <c r="N13" s="104">
        <v>9660034.4299999997</v>
      </c>
      <c r="O13" s="104">
        <v>4180934.17</v>
      </c>
      <c r="P13" s="104">
        <v>2537671.59</v>
      </c>
      <c r="Q13" s="104">
        <v>2991451.7</v>
      </c>
      <c r="R13" s="104"/>
      <c r="S13" s="104"/>
      <c r="T13" s="104"/>
      <c r="U13" s="104"/>
      <c r="V13" s="104"/>
      <c r="W13" s="104"/>
      <c r="X13" s="137">
        <f t="shared" si="11"/>
        <v>33574132.57</v>
      </c>
      <c r="Y13" s="102"/>
      <c r="Z13" s="103"/>
      <c r="AA13" s="103"/>
      <c r="AB13" s="103"/>
      <c r="AC13" s="103">
        <f t="shared" si="12"/>
        <v>3480367.8024999998</v>
      </c>
      <c r="AD13" s="103">
        <f t="shared" si="13"/>
        <v>3352803.7566666659</v>
      </c>
      <c r="AE13" s="103">
        <f t="shared" si="14"/>
        <v>3594892.1366666667</v>
      </c>
      <c r="AF13" s="103">
        <f t="shared" si="15"/>
        <v>2405082.6908333334</v>
      </c>
      <c r="AG13" s="159">
        <f t="shared" si="4"/>
        <v>40932795.756895617</v>
      </c>
      <c r="AH13" s="103">
        <f t="shared" si="5"/>
        <v>45283920.620165072</v>
      </c>
      <c r="AI13" s="103">
        <f t="shared" si="6"/>
        <v>50631385.053937249</v>
      </c>
      <c r="AJ13" s="103">
        <f t="shared" si="7"/>
        <v>58875203.31259989</v>
      </c>
      <c r="AK13" s="103">
        <f t="shared" si="8"/>
        <v>49854037.391679578</v>
      </c>
      <c r="AL13" s="103">
        <f t="shared" si="9"/>
        <v>45813710.318818092</v>
      </c>
      <c r="AM13" s="218">
        <f t="shared" si="10"/>
        <v>47770454.067788623</v>
      </c>
      <c r="AN13" s="232">
        <f t="shared" si="16"/>
        <v>36043546.261327893</v>
      </c>
      <c r="AO13" s="219">
        <v>48333695.260000005</v>
      </c>
      <c r="AP13" s="178"/>
      <c r="AQ13" s="187"/>
    </row>
    <row r="14" spans="1:43" s="99" customFormat="1" x14ac:dyDescent="0.25">
      <c r="A14" s="106" t="s">
        <v>235</v>
      </c>
      <c r="B14" s="107"/>
      <c r="C14" s="108">
        <f>SUM(C15:C16)</f>
        <v>31253484.289999999</v>
      </c>
      <c r="D14" s="109">
        <f t="shared" ref="D14:E14" si="17">SUM(D15:D16)</f>
        <v>48132312.969999999</v>
      </c>
      <c r="E14" s="109">
        <f t="shared" si="17"/>
        <v>48314044.82</v>
      </c>
      <c r="F14" s="109">
        <v>59646697.899999999</v>
      </c>
      <c r="G14" s="109">
        <v>55644309.019999996</v>
      </c>
      <c r="H14" s="109">
        <v>49195560.280000009</v>
      </c>
      <c r="I14" s="109">
        <v>56188486.119999997</v>
      </c>
      <c r="J14" s="109">
        <v>27022194.649999999</v>
      </c>
      <c r="K14" s="109">
        <v>45997661.43</v>
      </c>
      <c r="L14" s="149">
        <f>SUM(L15:L16)</f>
        <v>3471725.0900000003</v>
      </c>
      <c r="M14" s="149">
        <f>SUM(M15:M16)</f>
        <v>5680055.2700000005</v>
      </c>
      <c r="N14" s="149">
        <f>SUM(N15:N16)</f>
        <v>25376446.199999999</v>
      </c>
      <c r="O14" s="149">
        <f>SUM(O15:O16)</f>
        <v>4264989.05</v>
      </c>
      <c r="P14" s="149">
        <f t="shared" ref="P14:W14" si="18">SUM(P15:P16)</f>
        <v>2462615.0299999998</v>
      </c>
      <c r="Q14" s="149">
        <f t="shared" si="18"/>
        <v>2607410.6100000003</v>
      </c>
      <c r="R14" s="149">
        <f t="shared" si="18"/>
        <v>0</v>
      </c>
      <c r="S14" s="149">
        <f t="shared" ref="S14" si="19">SUM(S15:S16)</f>
        <v>0</v>
      </c>
      <c r="T14" s="149">
        <f t="shared" si="18"/>
        <v>0</v>
      </c>
      <c r="U14" s="149">
        <f t="shared" si="18"/>
        <v>0</v>
      </c>
      <c r="V14" s="149">
        <f t="shared" si="18"/>
        <v>0</v>
      </c>
      <c r="W14" s="149">
        <f t="shared" si="18"/>
        <v>0</v>
      </c>
      <c r="X14" s="136">
        <f t="shared" si="2"/>
        <v>43863241.25</v>
      </c>
      <c r="Y14" s="108">
        <f>+C14/12</f>
        <v>2604457.0241666664</v>
      </c>
      <c r="Z14" s="109">
        <f>+D14/12</f>
        <v>4011026.0808333331</v>
      </c>
      <c r="AA14" s="109">
        <f>+E14/12</f>
        <v>4026170.4016666668</v>
      </c>
      <c r="AB14" s="109">
        <f>F14/12</f>
        <v>4970558.1583333332</v>
      </c>
      <c r="AC14" s="109">
        <f t="shared" si="12"/>
        <v>4637025.751666666</v>
      </c>
      <c r="AD14" s="109">
        <f t="shared" si="13"/>
        <v>4099630.0233333339</v>
      </c>
      <c r="AE14" s="109">
        <f t="shared" si="14"/>
        <v>4682373.8433333328</v>
      </c>
      <c r="AF14" s="109">
        <f t="shared" si="15"/>
        <v>2251849.5541666667</v>
      </c>
      <c r="AG14" s="158">
        <f t="shared" si="4"/>
        <v>43765757.140229627</v>
      </c>
      <c r="AH14" s="109">
        <f t="shared" si="5"/>
        <v>64759392.412719585</v>
      </c>
      <c r="AI14" s="109">
        <f t="shared" si="6"/>
        <v>63647685.226092979</v>
      </c>
      <c r="AJ14" s="109">
        <f t="shared" si="7"/>
        <v>76022474.783287048</v>
      </c>
      <c r="AK14" s="109">
        <f t="shared" si="8"/>
        <v>66422420.941750765</v>
      </c>
      <c r="AL14" s="109">
        <f t="shared" si="9"/>
        <v>56018567.126055539</v>
      </c>
      <c r="AM14" s="216">
        <f>$AM$6*X14</f>
        <v>48572782.152613893</v>
      </c>
      <c r="AN14" s="231">
        <f>$AN$6*X14</f>
        <v>47089429.991077229</v>
      </c>
      <c r="AO14" s="216">
        <v>45997661.43</v>
      </c>
      <c r="AP14" s="182"/>
      <c r="AQ14" s="186"/>
    </row>
    <row r="15" spans="1:43" s="105" customFormat="1" ht="24" x14ac:dyDescent="0.2">
      <c r="A15" s="100" t="s">
        <v>10</v>
      </c>
      <c r="B15" s="101"/>
      <c r="C15" s="102">
        <v>7447726.4199999999</v>
      </c>
      <c r="D15" s="103">
        <v>8086989.9800000004</v>
      </c>
      <c r="E15" s="103">
        <v>6453037.0499999998</v>
      </c>
      <c r="F15" s="103">
        <v>5327510.01</v>
      </c>
      <c r="G15" s="103">
        <v>4924713.5100000007</v>
      </c>
      <c r="H15" s="103">
        <v>5034749.4500000011</v>
      </c>
      <c r="I15" s="103">
        <v>6340773.8700000001</v>
      </c>
      <c r="J15" s="103">
        <v>2966144.36</v>
      </c>
      <c r="K15" s="103">
        <v>5787133.3099999996</v>
      </c>
      <c r="L15" s="148">
        <v>674116.85</v>
      </c>
      <c r="M15" s="104">
        <v>546456.15</v>
      </c>
      <c r="N15" s="104">
        <v>487290.47000000003</v>
      </c>
      <c r="O15" s="104">
        <v>593201.11</v>
      </c>
      <c r="P15" s="104">
        <v>474111.83</v>
      </c>
      <c r="Q15" s="104">
        <v>838576.74</v>
      </c>
      <c r="R15" s="104"/>
      <c r="S15" s="104"/>
      <c r="T15" s="104"/>
      <c r="U15" s="104"/>
      <c r="V15" s="104"/>
      <c r="W15" s="104"/>
      <c r="X15" s="137">
        <f t="shared" si="11"/>
        <v>3613753.1500000004</v>
      </c>
      <c r="Y15" s="102"/>
      <c r="Z15" s="103"/>
      <c r="AA15" s="103"/>
      <c r="AB15" s="103"/>
      <c r="AC15" s="103">
        <f t="shared" si="12"/>
        <v>410392.79250000004</v>
      </c>
      <c r="AD15" s="103">
        <f t="shared" si="13"/>
        <v>419562.45416666678</v>
      </c>
      <c r="AE15" s="103">
        <f t="shared" si="14"/>
        <v>528397.82250000001</v>
      </c>
      <c r="AF15" s="103">
        <f t="shared" si="15"/>
        <v>247178.69666666666</v>
      </c>
      <c r="AG15" s="159">
        <f t="shared" si="4"/>
        <v>10429409.49303646</v>
      </c>
      <c r="AH15" s="103">
        <f t="shared" si="5"/>
        <v>10880602.348758295</v>
      </c>
      <c r="AI15" s="103">
        <f t="shared" si="6"/>
        <v>8501065.7344237566</v>
      </c>
      <c r="AJ15" s="103">
        <f t="shared" si="7"/>
        <v>6790157.8738180967</v>
      </c>
      <c r="AK15" s="103">
        <f t="shared" si="8"/>
        <v>5878613.6361433603</v>
      </c>
      <c r="AL15" s="103">
        <f t="shared" si="9"/>
        <v>5733026.484960204</v>
      </c>
      <c r="AM15" s="219">
        <f>$AM$6*I15</f>
        <v>7021574.7648720909</v>
      </c>
      <c r="AN15" s="227">
        <f>$AN$6*X15</f>
        <v>3879548.5949629825</v>
      </c>
      <c r="AO15" s="219">
        <v>5787133.3099999996</v>
      </c>
      <c r="AP15" s="178"/>
      <c r="AQ15" s="187"/>
    </row>
    <row r="16" spans="1:43" s="105" customFormat="1" ht="12" x14ac:dyDescent="0.2">
      <c r="A16" s="100" t="s">
        <v>11</v>
      </c>
      <c r="B16" s="101"/>
      <c r="C16" s="102">
        <v>23805757.870000001</v>
      </c>
      <c r="D16" s="103">
        <v>40045322.990000002</v>
      </c>
      <c r="E16" s="103">
        <v>41861007.770000003</v>
      </c>
      <c r="F16" s="103">
        <v>54319187.890000001</v>
      </c>
      <c r="G16" s="103">
        <v>50719595.509999998</v>
      </c>
      <c r="H16" s="103">
        <v>44160810.829999998</v>
      </c>
      <c r="I16" s="103">
        <v>49847712.25</v>
      </c>
      <c r="J16" s="103">
        <v>24056050.289999999</v>
      </c>
      <c r="K16" s="103">
        <v>40210528.120000005</v>
      </c>
      <c r="L16" s="148">
        <v>2797608.24</v>
      </c>
      <c r="M16" s="104">
        <v>5133599.12</v>
      </c>
      <c r="N16" s="104">
        <v>24889155.73</v>
      </c>
      <c r="O16" s="104">
        <v>3671787.94</v>
      </c>
      <c r="P16" s="104">
        <v>1988503.2</v>
      </c>
      <c r="Q16" s="104">
        <v>1768833.87</v>
      </c>
      <c r="R16" s="104"/>
      <c r="S16" s="104"/>
      <c r="T16" s="104"/>
      <c r="U16" s="104"/>
      <c r="V16" s="104"/>
      <c r="W16" s="104"/>
      <c r="X16" s="137">
        <f t="shared" si="11"/>
        <v>40249488.100000001</v>
      </c>
      <c r="Y16" s="102"/>
      <c r="Z16" s="103"/>
      <c r="AA16" s="103"/>
      <c r="AB16" s="103"/>
      <c r="AC16" s="103">
        <f t="shared" si="12"/>
        <v>4226632.9591666665</v>
      </c>
      <c r="AD16" s="103">
        <f t="shared" si="13"/>
        <v>3680067.5691666664</v>
      </c>
      <c r="AE16" s="103">
        <f t="shared" si="14"/>
        <v>4153976.0208333335</v>
      </c>
      <c r="AF16" s="103">
        <f t="shared" si="15"/>
        <v>2004670.8574999999</v>
      </c>
      <c r="AG16" s="159">
        <f t="shared" si="4"/>
        <v>33336347.647193171</v>
      </c>
      <c r="AH16" s="103">
        <f t="shared" si="5"/>
        <v>53878790.063961297</v>
      </c>
      <c r="AI16" s="103">
        <f t="shared" si="6"/>
        <v>55146619.491669223</v>
      </c>
      <c r="AJ16" s="103">
        <f t="shared" si="7"/>
        <v>69232316.909468949</v>
      </c>
      <c r="AK16" s="103">
        <f t="shared" si="8"/>
        <v>60543807.305607408</v>
      </c>
      <c r="AL16" s="103">
        <f t="shared" si="9"/>
        <v>50285540.641095325</v>
      </c>
      <c r="AM16" s="219">
        <f>$AM$6*I16</f>
        <v>55199798.257622674</v>
      </c>
      <c r="AN16" s="227">
        <f>$AN$6*X16</f>
        <v>43209881.396114253</v>
      </c>
      <c r="AO16" s="219">
        <v>40210528.120000005</v>
      </c>
      <c r="AP16" s="178"/>
      <c r="AQ16" s="187"/>
    </row>
    <row r="17" spans="1:43" s="99" customFormat="1" x14ac:dyDescent="0.25">
      <c r="A17" s="106" t="s">
        <v>236</v>
      </c>
      <c r="B17" s="107"/>
      <c r="C17" s="108">
        <f>SUM(C18:C19)</f>
        <v>5827012.7699999996</v>
      </c>
      <c r="D17" s="109">
        <f t="shared" ref="D17:E17" si="20">SUM(D18:D19)</f>
        <v>6006571.1699999999</v>
      </c>
      <c r="E17" s="109">
        <f t="shared" si="20"/>
        <v>5582390.8399999999</v>
      </c>
      <c r="F17" s="109">
        <v>8348631.21</v>
      </c>
      <c r="G17" s="109">
        <v>14340140.469999999</v>
      </c>
      <c r="H17" s="109">
        <v>7496906.3300000001</v>
      </c>
      <c r="I17" s="109">
        <v>9122636.1099999994</v>
      </c>
      <c r="J17" s="109">
        <v>3636560.91</v>
      </c>
      <c r="K17" s="109">
        <v>6285699.2400000002</v>
      </c>
      <c r="L17" s="149">
        <f>SUM(L18:L19)</f>
        <v>428633.79000000004</v>
      </c>
      <c r="M17" s="149">
        <f>SUM(M18:M19)</f>
        <v>400395.06</v>
      </c>
      <c r="N17" s="149">
        <f>SUM(N18:N19)</f>
        <v>918237.05</v>
      </c>
      <c r="O17" s="149">
        <f>SUM(O18:O19)</f>
        <v>1452421.43</v>
      </c>
      <c r="P17" s="149">
        <f t="shared" ref="P17:W17" si="21">SUM(P18:P19)</f>
        <v>976648.8</v>
      </c>
      <c r="Q17" s="149">
        <f t="shared" si="21"/>
        <v>1479967.8800000001</v>
      </c>
      <c r="R17" s="149">
        <f t="shared" si="21"/>
        <v>0</v>
      </c>
      <c r="S17" s="149">
        <f t="shared" ref="S17" si="22">SUM(S18:S19)</f>
        <v>0</v>
      </c>
      <c r="T17" s="149">
        <f t="shared" si="21"/>
        <v>0</v>
      </c>
      <c r="U17" s="149"/>
      <c r="V17" s="149">
        <f t="shared" si="21"/>
        <v>0</v>
      </c>
      <c r="W17" s="149">
        <f t="shared" si="21"/>
        <v>0</v>
      </c>
      <c r="X17" s="136">
        <f>SUM(L17:W17)</f>
        <v>5656304.0099999998</v>
      </c>
      <c r="Y17" s="108">
        <f>+C17/12</f>
        <v>485584.39749999996</v>
      </c>
      <c r="Z17" s="109">
        <f>+D17/12</f>
        <v>500547.59749999997</v>
      </c>
      <c r="AA17" s="109">
        <f>+E17/12</f>
        <v>465199.23666666663</v>
      </c>
      <c r="AB17" s="109">
        <f t="shared" ref="AB17:AB28" si="23">F17/12</f>
        <v>695719.26749999996</v>
      </c>
      <c r="AC17" s="109">
        <f t="shared" si="12"/>
        <v>1195011.7058333333</v>
      </c>
      <c r="AD17" s="109">
        <f t="shared" si="13"/>
        <v>624742.19416666671</v>
      </c>
      <c r="AE17" s="109">
        <f t="shared" si="14"/>
        <v>760219.67583333328</v>
      </c>
      <c r="AF17" s="109">
        <f t="shared" si="15"/>
        <v>303046.74249999999</v>
      </c>
      <c r="AG17" s="158">
        <f t="shared" si="4"/>
        <v>8159846.2231756719</v>
      </c>
      <c r="AH17" s="109">
        <f t="shared" si="5"/>
        <v>8081512.7188133178</v>
      </c>
      <c r="AI17" s="109">
        <f t="shared" si="6"/>
        <v>7354098.7163687609</v>
      </c>
      <c r="AJ17" s="109">
        <f t="shared" si="7"/>
        <v>10640716.552343935</v>
      </c>
      <c r="AK17" s="109">
        <f t="shared" si="8"/>
        <v>17117776.524456799</v>
      </c>
      <c r="AL17" s="109">
        <f t="shared" si="9"/>
        <v>8536663.6357953809</v>
      </c>
      <c r="AM17" s="216">
        <f>$AM$6*I17</f>
        <v>10102122.045725452</v>
      </c>
      <c r="AN17" s="231">
        <f>$AN$6*X17</f>
        <v>6072331.2754992628</v>
      </c>
      <c r="AO17" s="216">
        <v>6285699.2400000002</v>
      </c>
      <c r="AP17" s="182"/>
      <c r="AQ17" s="186"/>
    </row>
    <row r="18" spans="1:43" s="105" customFormat="1" ht="24.75" x14ac:dyDescent="0.25">
      <c r="A18" s="100" t="s">
        <v>229</v>
      </c>
      <c r="B18" s="101"/>
      <c r="C18" s="102">
        <v>1910544</v>
      </c>
      <c r="D18" s="103">
        <v>516800</v>
      </c>
      <c r="E18" s="103">
        <v>5582390.8399999999</v>
      </c>
      <c r="F18" s="103">
        <v>8348631.21</v>
      </c>
      <c r="G18" s="103">
        <v>14340140.469999999</v>
      </c>
      <c r="H18" s="103">
        <v>7496906.3300000001</v>
      </c>
      <c r="I18" s="103">
        <v>9122636.1099999994</v>
      </c>
      <c r="J18" s="103">
        <v>3636560.91</v>
      </c>
      <c r="K18" s="103">
        <v>6253424.9800000004</v>
      </c>
      <c r="L18" s="148">
        <v>428633.79000000004</v>
      </c>
      <c r="M18" s="104">
        <v>400395.06</v>
      </c>
      <c r="N18" s="104">
        <v>918237.05</v>
      </c>
      <c r="O18" s="104">
        <v>1452421.43</v>
      </c>
      <c r="P18" s="104">
        <v>976648.8</v>
      </c>
      <c r="Q18" s="104">
        <v>1479967.8800000001</v>
      </c>
      <c r="R18" s="104"/>
      <c r="S18" s="104"/>
      <c r="T18" s="104"/>
      <c r="U18" s="104"/>
      <c r="V18" s="104"/>
      <c r="W18" s="104"/>
      <c r="X18" s="202">
        <f>SUM(L18:W18)</f>
        <v>5656304.0099999998</v>
      </c>
      <c r="Y18" s="102"/>
      <c r="Z18" s="103"/>
      <c r="AA18" s="103">
        <f t="shared" ref="AA18:AA28" si="24">+E18/12</f>
        <v>465199.23666666663</v>
      </c>
      <c r="AB18" s="103">
        <f t="shared" si="23"/>
        <v>695719.26749999996</v>
      </c>
      <c r="AC18" s="103">
        <f t="shared" si="12"/>
        <v>1195011.7058333333</v>
      </c>
      <c r="AD18" s="103">
        <f t="shared" si="13"/>
        <v>624742.19416666671</v>
      </c>
      <c r="AE18" s="103">
        <f t="shared" si="14"/>
        <v>760219.67583333328</v>
      </c>
      <c r="AF18" s="103">
        <f t="shared" si="15"/>
        <v>303046.74249999999</v>
      </c>
      <c r="AG18" s="159">
        <f t="shared" si="4"/>
        <v>2675426.6479170499</v>
      </c>
      <c r="AH18" s="103">
        <f t="shared" si="5"/>
        <v>695326.11116680107</v>
      </c>
      <c r="AI18" s="103">
        <f t="shared" si="6"/>
        <v>7354098.7163687609</v>
      </c>
      <c r="AJ18" s="103">
        <f t="shared" si="7"/>
        <v>10640716.552343935</v>
      </c>
      <c r="AK18" s="103">
        <f t="shared" si="8"/>
        <v>17117776.524456799</v>
      </c>
      <c r="AL18" s="103">
        <f t="shared" si="9"/>
        <v>8536663.6357953809</v>
      </c>
      <c r="AM18" s="219">
        <f>$AM$6*I18</f>
        <v>10102122.045725452</v>
      </c>
      <c r="AN18" s="227">
        <f>$AN$6*X18</f>
        <v>6072331.2754992628</v>
      </c>
      <c r="AO18" s="219">
        <v>6253424.9800000004</v>
      </c>
      <c r="AP18" s="178"/>
      <c r="AQ18" s="187"/>
    </row>
    <row r="19" spans="1:43" s="105" customFormat="1" ht="12" x14ac:dyDescent="0.2">
      <c r="A19" s="100" t="s">
        <v>12</v>
      </c>
      <c r="B19" s="101"/>
      <c r="C19" s="102">
        <v>3916468.77</v>
      </c>
      <c r="D19" s="103">
        <v>5489771.1699999999</v>
      </c>
      <c r="E19" s="103"/>
      <c r="F19" s="103"/>
      <c r="G19" s="103">
        <v>0</v>
      </c>
      <c r="H19" s="103">
        <v>0</v>
      </c>
      <c r="I19" s="103"/>
      <c r="J19" s="103">
        <v>0</v>
      </c>
      <c r="K19" s="103">
        <v>0</v>
      </c>
      <c r="L19" s="148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37">
        <f t="shared" si="2"/>
        <v>0</v>
      </c>
      <c r="Y19" s="102">
        <f>+C19/12</f>
        <v>326372.39750000002</v>
      </c>
      <c r="Z19" s="103">
        <f>+D19/12</f>
        <v>457480.93083333335</v>
      </c>
      <c r="AA19" s="103">
        <f t="shared" si="24"/>
        <v>0</v>
      </c>
      <c r="AB19" s="103">
        <f t="shared" si="23"/>
        <v>0</v>
      </c>
      <c r="AC19" s="103">
        <f t="shared" ref="AC19:AC33" si="25">G19/12</f>
        <v>0</v>
      </c>
      <c r="AD19" s="103">
        <v>0</v>
      </c>
      <c r="AE19" s="103">
        <f>+X19/$AE$5</f>
        <v>0</v>
      </c>
      <c r="AF19" s="103"/>
      <c r="AG19" s="159">
        <f t="shared" si="4"/>
        <v>5484419.5752586229</v>
      </c>
      <c r="AH19" s="103">
        <f t="shared" si="5"/>
        <v>7386186.6076465165</v>
      </c>
      <c r="AI19" s="103">
        <f t="shared" si="6"/>
        <v>0</v>
      </c>
      <c r="AJ19" s="103">
        <f t="shared" si="7"/>
        <v>0</v>
      </c>
      <c r="AK19" s="103">
        <f t="shared" si="8"/>
        <v>0</v>
      </c>
      <c r="AL19" s="103">
        <f t="shared" si="9"/>
        <v>0</v>
      </c>
      <c r="AM19" s="219">
        <f>$AM$6*X19</f>
        <v>0</v>
      </c>
      <c r="AN19" s="227">
        <f t="shared" ref="AN19" si="26">$AM$6*X19</f>
        <v>0</v>
      </c>
      <c r="AO19" s="219">
        <v>0</v>
      </c>
      <c r="AP19" s="178"/>
      <c r="AQ19" s="187"/>
    </row>
    <row r="20" spans="1:43" s="99" customFormat="1" x14ac:dyDescent="0.25">
      <c r="A20" s="106" t="s">
        <v>249</v>
      </c>
      <c r="B20" s="107"/>
      <c r="C20" s="108">
        <f>SUM(C21:C24)</f>
        <v>227953583.00000003</v>
      </c>
      <c r="D20" s="109">
        <f>SUM(D21:D24)</f>
        <v>24334054.07</v>
      </c>
      <c r="E20" s="109">
        <f>SUM(E21:E24)</f>
        <v>39169321.490000002</v>
      </c>
      <c r="F20" s="109">
        <f>SUM(F21:F24)</f>
        <v>41283548.420000002</v>
      </c>
      <c r="G20" s="109">
        <v>39045680.669999994</v>
      </c>
      <c r="H20" s="109">
        <v>40922007.630000003</v>
      </c>
      <c r="I20" s="109">
        <v>71594621.879999995</v>
      </c>
      <c r="J20" s="109">
        <v>72167210.460000008</v>
      </c>
      <c r="K20" s="109">
        <v>57803828.150000006</v>
      </c>
      <c r="L20" s="149">
        <f>SUM(L21:L24)</f>
        <v>7357032.6699999999</v>
      </c>
      <c r="M20" s="149">
        <f>SUM(M21:M24)</f>
        <v>7853447.8199999994</v>
      </c>
      <c r="N20" s="149">
        <f>SUM(N21:N24)</f>
        <v>4882825.83</v>
      </c>
      <c r="O20" s="149">
        <f>SUM(O21:O24)</f>
        <v>2599328.3000000003</v>
      </c>
      <c r="P20" s="149">
        <f t="shared" ref="P20:W20" si="27">SUM(P21:P24)</f>
        <v>6085818.7599999998</v>
      </c>
      <c r="Q20" s="149">
        <f t="shared" si="27"/>
        <v>4838540.5999999996</v>
      </c>
      <c r="R20" s="149">
        <f t="shared" si="27"/>
        <v>0</v>
      </c>
      <c r="S20" s="149">
        <f t="shared" ref="S20" si="28">SUM(S21:S24)</f>
        <v>0</v>
      </c>
      <c r="T20" s="149">
        <f t="shared" si="27"/>
        <v>0</v>
      </c>
      <c r="U20" s="149">
        <f t="shared" si="27"/>
        <v>0</v>
      </c>
      <c r="V20" s="149">
        <f t="shared" si="27"/>
        <v>0</v>
      </c>
      <c r="W20" s="149">
        <f t="shared" si="27"/>
        <v>0</v>
      </c>
      <c r="X20" s="136">
        <f t="shared" si="2"/>
        <v>33616993.980000004</v>
      </c>
      <c r="Y20" s="108">
        <f>+C20/12</f>
        <v>18996131.916666668</v>
      </c>
      <c r="Z20" s="109">
        <f>+D20/12</f>
        <v>2027837.8391666666</v>
      </c>
      <c r="AA20" s="109">
        <f t="shared" si="24"/>
        <v>3264110.124166667</v>
      </c>
      <c r="AB20" s="109">
        <f t="shared" si="23"/>
        <v>3440295.7016666667</v>
      </c>
      <c r="AC20" s="109">
        <f t="shared" si="25"/>
        <v>3253806.7224999997</v>
      </c>
      <c r="AD20" s="109">
        <f t="shared" ref="AD20:AE23" si="29">H20/12</f>
        <v>3410167.3025000002</v>
      </c>
      <c r="AE20" s="109">
        <f t="shared" si="29"/>
        <v>5966218.4899999993</v>
      </c>
      <c r="AF20" s="109">
        <f t="shared" ref="AF20:AF23" si="30">J20/12</f>
        <v>6013934.205000001</v>
      </c>
      <c r="AG20" s="158">
        <f t="shared" si="4"/>
        <v>319214365.35686749</v>
      </c>
      <c r="AH20" s="109">
        <f t="shared" si="5"/>
        <v>32740137.742677573</v>
      </c>
      <c r="AI20" s="109">
        <f t="shared" si="6"/>
        <v>51600660.925891802</v>
      </c>
      <c r="AJ20" s="109">
        <f t="shared" si="7"/>
        <v>52617791.583129033</v>
      </c>
      <c r="AK20" s="109">
        <f t="shared" si="8"/>
        <v>46608695.176495895</v>
      </c>
      <c r="AL20" s="109">
        <f t="shared" si="9"/>
        <v>46597542.914580092</v>
      </c>
      <c r="AM20" s="216">
        <f>$AM$6*I20</f>
        <v>79281646.152312189</v>
      </c>
      <c r="AN20" s="231">
        <f>$AN$6*X20</f>
        <v>36089560.174299136</v>
      </c>
      <c r="AO20" s="216">
        <v>57803828.150000006</v>
      </c>
      <c r="AP20" s="182"/>
      <c r="AQ20" s="186"/>
    </row>
    <row r="21" spans="1:43" s="105" customFormat="1" ht="12" x14ac:dyDescent="0.2">
      <c r="A21" s="100" t="s">
        <v>13</v>
      </c>
      <c r="B21" s="101"/>
      <c r="C21" s="102">
        <v>7030947.4900000002</v>
      </c>
      <c r="D21" s="103">
        <v>15940328.27</v>
      </c>
      <c r="E21" s="103">
        <v>15704855.74</v>
      </c>
      <c r="F21" s="103">
        <v>13237022.23</v>
      </c>
      <c r="G21" s="103">
        <v>14388169.4</v>
      </c>
      <c r="H21" s="103">
        <v>10658744.420000002</v>
      </c>
      <c r="I21" s="103">
        <v>8264126.0999999996</v>
      </c>
      <c r="J21" s="103">
        <v>5972848.209999999</v>
      </c>
      <c r="K21" s="103">
        <v>10824709.35</v>
      </c>
      <c r="L21" s="148">
        <v>1900419.7</v>
      </c>
      <c r="M21" s="104">
        <v>2080211.89</v>
      </c>
      <c r="N21" s="104">
        <v>1643030.34</v>
      </c>
      <c r="O21" s="104">
        <v>944628.20000000007</v>
      </c>
      <c r="P21" s="104">
        <v>984253.21</v>
      </c>
      <c r="Q21" s="104">
        <v>1015345</v>
      </c>
      <c r="R21" s="104"/>
      <c r="S21" s="104"/>
      <c r="T21" s="104"/>
      <c r="U21" s="104"/>
      <c r="V21" s="104"/>
      <c r="W21" s="104"/>
      <c r="X21" s="137">
        <f t="shared" ref="X21:X23" si="31">SUM(L21:W21)</f>
        <v>8567888.3399999999</v>
      </c>
      <c r="Y21" s="102"/>
      <c r="Z21" s="103"/>
      <c r="AA21" s="103">
        <f t="shared" si="24"/>
        <v>1308737.9783333333</v>
      </c>
      <c r="AB21" s="103">
        <f t="shared" si="23"/>
        <v>1103085.1858333333</v>
      </c>
      <c r="AC21" s="103">
        <f t="shared" si="25"/>
        <v>1199014.1166666667</v>
      </c>
      <c r="AD21" s="103">
        <f t="shared" si="29"/>
        <v>888228.70166666678</v>
      </c>
      <c r="AE21" s="103">
        <f t="shared" si="29"/>
        <v>688677.17499999993</v>
      </c>
      <c r="AF21" s="103">
        <f t="shared" si="30"/>
        <v>497737.35083333327</v>
      </c>
      <c r="AG21" s="159">
        <f t="shared" si="4"/>
        <v>9845773.9130067118</v>
      </c>
      <c r="AH21" s="103">
        <f t="shared" si="5"/>
        <v>21446839.138353951</v>
      </c>
      <c r="AI21" s="103">
        <f t="shared" si="6"/>
        <v>20689174.718961556</v>
      </c>
      <c r="AJ21" s="103">
        <f t="shared" si="7"/>
        <v>16871196.966730744</v>
      </c>
      <c r="AK21" s="103">
        <f t="shared" si="8"/>
        <v>17175108.493566081</v>
      </c>
      <c r="AL21" s="103">
        <f t="shared" si="9"/>
        <v>12137021.844509419</v>
      </c>
      <c r="AM21" s="219">
        <f>$AM$6*I21</f>
        <v>9151434.8985103928</v>
      </c>
      <c r="AN21" s="227">
        <f>$AN$6*X21</f>
        <v>9198065.7758116983</v>
      </c>
      <c r="AO21" s="219">
        <v>10824709.35</v>
      </c>
      <c r="AP21" s="178"/>
      <c r="AQ21" s="187"/>
    </row>
    <row r="22" spans="1:43" s="99" customFormat="1" x14ac:dyDescent="0.25">
      <c r="A22" s="100" t="s">
        <v>14</v>
      </c>
      <c r="B22" s="101"/>
      <c r="C22" s="102">
        <v>1126094</v>
      </c>
      <c r="D22" s="103">
        <v>114894.5</v>
      </c>
      <c r="E22" s="103">
        <v>175120</v>
      </c>
      <c r="F22" s="103">
        <v>637870</v>
      </c>
      <c r="G22" s="103">
        <v>494565</v>
      </c>
      <c r="H22" s="103">
        <v>62668</v>
      </c>
      <c r="I22" s="103">
        <v>2629951.87</v>
      </c>
      <c r="J22" s="103">
        <v>0</v>
      </c>
      <c r="K22" s="103">
        <v>0</v>
      </c>
      <c r="L22" s="148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37">
        <f t="shared" si="31"/>
        <v>0</v>
      </c>
      <c r="Y22" s="102"/>
      <c r="Z22" s="103"/>
      <c r="AA22" s="103">
        <f t="shared" si="24"/>
        <v>14593.333333333334</v>
      </c>
      <c r="AB22" s="103">
        <f t="shared" si="23"/>
        <v>53155.833333333336</v>
      </c>
      <c r="AC22" s="103">
        <f t="shared" si="25"/>
        <v>41213.75</v>
      </c>
      <c r="AD22" s="103">
        <f t="shared" si="29"/>
        <v>5222.333333333333</v>
      </c>
      <c r="AE22" s="103">
        <f t="shared" si="29"/>
        <v>219162.65583333335</v>
      </c>
      <c r="AF22" s="103">
        <f t="shared" si="30"/>
        <v>0</v>
      </c>
      <c r="AG22" s="159">
        <f t="shared" si="4"/>
        <v>1576923.5859836268</v>
      </c>
      <c r="AH22" s="103">
        <f t="shared" si="5"/>
        <v>154584.26060265873</v>
      </c>
      <c r="AI22" s="103">
        <f t="shared" si="6"/>
        <v>230698.60282489596</v>
      </c>
      <c r="AJ22" s="103">
        <f t="shared" si="7"/>
        <v>812994.81274411525</v>
      </c>
      <c r="AK22" s="103">
        <f t="shared" si="8"/>
        <v>590360.54524910636</v>
      </c>
      <c r="AL22" s="103">
        <f t="shared" si="9"/>
        <v>71359.519937876146</v>
      </c>
      <c r="AM22" s="219">
        <f>$AM$6*I22</f>
        <v>2912326.4859814602</v>
      </c>
      <c r="AN22" s="227">
        <f t="shared" ref="AN22" si="32">$AM$6*X22</f>
        <v>0</v>
      </c>
      <c r="AO22" s="217">
        <v>0</v>
      </c>
      <c r="AP22" s="182"/>
      <c r="AQ22" s="186"/>
    </row>
    <row r="23" spans="1:43" s="105" customFormat="1" ht="12" x14ac:dyDescent="0.2">
      <c r="A23" s="100" t="s">
        <v>15</v>
      </c>
      <c r="B23" s="101"/>
      <c r="C23" s="102">
        <v>158326896.30000001</v>
      </c>
      <c r="D23" s="103">
        <v>8278831.2999999998</v>
      </c>
      <c r="E23" s="103">
        <v>23289345.75</v>
      </c>
      <c r="F23" s="103">
        <v>27408656.190000001</v>
      </c>
      <c r="G23" s="103">
        <v>24162946.270000003</v>
      </c>
      <c r="H23" s="103">
        <v>30200595.210000005</v>
      </c>
      <c r="I23" s="103">
        <v>60700543.909999996</v>
      </c>
      <c r="J23" s="103">
        <v>66194362.25</v>
      </c>
      <c r="K23" s="103">
        <v>46979118.800000004</v>
      </c>
      <c r="L23" s="148">
        <v>5456612.9699999997</v>
      </c>
      <c r="M23" s="104">
        <v>5773235.9299999997</v>
      </c>
      <c r="N23" s="104">
        <v>3239795.49</v>
      </c>
      <c r="O23" s="104">
        <v>1654700.1</v>
      </c>
      <c r="P23" s="104">
        <v>5101565.55</v>
      </c>
      <c r="Q23" s="104">
        <v>3823195.6</v>
      </c>
      <c r="R23" s="104"/>
      <c r="S23" s="104"/>
      <c r="T23" s="104"/>
      <c r="U23" s="104"/>
      <c r="V23" s="104"/>
      <c r="W23" s="104"/>
      <c r="X23" s="137">
        <f t="shared" si="31"/>
        <v>25049105.640000001</v>
      </c>
      <c r="Y23" s="102"/>
      <c r="Z23" s="103"/>
      <c r="AA23" s="103">
        <f t="shared" si="24"/>
        <v>1940778.8125</v>
      </c>
      <c r="AB23" s="103">
        <f t="shared" si="23"/>
        <v>2284054.6825000001</v>
      </c>
      <c r="AC23" s="103">
        <f t="shared" si="25"/>
        <v>2013578.8558333337</v>
      </c>
      <c r="AD23" s="103">
        <f t="shared" si="29"/>
        <v>2516716.2675000005</v>
      </c>
      <c r="AE23" s="103">
        <f t="shared" si="29"/>
        <v>5058378.6591666667</v>
      </c>
      <c r="AF23" s="103">
        <f t="shared" si="30"/>
        <v>5516196.854166667</v>
      </c>
      <c r="AG23" s="159">
        <f t="shared" si="4"/>
        <v>221712767.38092363</v>
      </c>
      <c r="AH23" s="103">
        <f t="shared" si="5"/>
        <v>11138714.343720961</v>
      </c>
      <c r="AI23" s="103">
        <f t="shared" si="6"/>
        <v>30680787.60410535</v>
      </c>
      <c r="AJ23" s="103">
        <f t="shared" si="7"/>
        <v>34933599.803654172</v>
      </c>
      <c r="AK23" s="103">
        <f t="shared" si="8"/>
        <v>28843226.137680717</v>
      </c>
      <c r="AL23" s="103">
        <f t="shared" si="9"/>
        <v>34389161.550132796</v>
      </c>
      <c r="AM23" s="219">
        <f>$AM$6*I23</f>
        <v>67217884.767820343</v>
      </c>
      <c r="AN23" s="227">
        <f>$AN$6*X23</f>
        <v>26891494.39848743</v>
      </c>
      <c r="AO23" s="219">
        <v>46979118.800000004</v>
      </c>
      <c r="AP23" s="178"/>
      <c r="AQ23" s="187"/>
    </row>
    <row r="24" spans="1:43" s="105" customFormat="1" ht="24" x14ac:dyDescent="0.2">
      <c r="A24" s="100" t="s">
        <v>16</v>
      </c>
      <c r="B24" s="101"/>
      <c r="C24" s="102">
        <v>61469645.210000001</v>
      </c>
      <c r="D24" s="103">
        <v>0</v>
      </c>
      <c r="E24" s="103"/>
      <c r="F24" s="103"/>
      <c r="G24" s="103">
        <v>0</v>
      </c>
      <c r="H24" s="103">
        <v>0</v>
      </c>
      <c r="I24" s="103"/>
      <c r="J24" s="103"/>
      <c r="K24" s="103">
        <v>0</v>
      </c>
      <c r="L24" s="148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37">
        <f t="shared" ref="X24" si="33">SUM(L24:W24)</f>
        <v>0</v>
      </c>
      <c r="Y24" s="102">
        <f>+C24/12</f>
        <v>5122470.4341666671</v>
      </c>
      <c r="Z24" s="103">
        <f>+D24/12</f>
        <v>0</v>
      </c>
      <c r="AA24" s="103">
        <f t="shared" si="24"/>
        <v>0</v>
      </c>
      <c r="AB24" s="103">
        <f t="shared" si="23"/>
        <v>0</v>
      </c>
      <c r="AC24" s="103">
        <f t="shared" si="25"/>
        <v>0</v>
      </c>
      <c r="AD24" s="103">
        <v>0</v>
      </c>
      <c r="AE24" s="103">
        <v>0</v>
      </c>
      <c r="AF24" s="103"/>
      <c r="AG24" s="159">
        <f t="shared" si="4"/>
        <v>86078900.476953492</v>
      </c>
      <c r="AH24" s="103">
        <f t="shared" si="5"/>
        <v>0</v>
      </c>
      <c r="AI24" s="103">
        <f t="shared" si="6"/>
        <v>0</v>
      </c>
      <c r="AJ24" s="103">
        <f t="shared" si="7"/>
        <v>0</v>
      </c>
      <c r="AK24" s="103">
        <f t="shared" si="8"/>
        <v>0</v>
      </c>
      <c r="AL24" s="103">
        <f t="shared" si="9"/>
        <v>0</v>
      </c>
      <c r="AM24" s="219">
        <f>$AM$6*X24</f>
        <v>0</v>
      </c>
      <c r="AN24" s="103"/>
      <c r="AO24" s="219">
        <v>0</v>
      </c>
      <c r="AP24" s="178"/>
      <c r="AQ24" s="187"/>
    </row>
    <row r="25" spans="1:43" s="105" customFormat="1" ht="16.5" x14ac:dyDescent="0.35">
      <c r="A25" s="110" t="s">
        <v>237</v>
      </c>
      <c r="B25" s="107"/>
      <c r="C25" s="108">
        <f t="shared" ref="C25:E25" si="34">SUM(C26:C30)</f>
        <v>729278324.88</v>
      </c>
      <c r="D25" s="109">
        <f t="shared" si="34"/>
        <v>849535921.20999992</v>
      </c>
      <c r="E25" s="109">
        <f t="shared" si="34"/>
        <v>839596076.45999992</v>
      </c>
      <c r="F25" s="109">
        <v>1071939683.95</v>
      </c>
      <c r="G25" s="109">
        <v>1171334909.6499999</v>
      </c>
      <c r="H25" s="109">
        <v>1097601837.5999999</v>
      </c>
      <c r="I25" s="109">
        <v>1154695284.6899998</v>
      </c>
      <c r="J25" s="109">
        <v>586208388.46000004</v>
      </c>
      <c r="K25" s="109">
        <v>1241919421.6599998</v>
      </c>
      <c r="L25" s="149">
        <f>SUM(L26:L28)</f>
        <v>114833579.02</v>
      </c>
      <c r="M25" s="149">
        <f t="shared" ref="M25:W25" si="35">SUM(M26:M28)</f>
        <v>134790440.75</v>
      </c>
      <c r="N25" s="149">
        <f t="shared" si="35"/>
        <v>111500610.26000001</v>
      </c>
      <c r="O25" s="149">
        <f t="shared" si="35"/>
        <v>153082047.5</v>
      </c>
      <c r="P25" s="149">
        <f t="shared" si="35"/>
        <v>108505708.2</v>
      </c>
      <c r="Q25" s="149">
        <f t="shared" si="35"/>
        <v>94380860.099999994</v>
      </c>
      <c r="R25" s="149">
        <f t="shared" si="35"/>
        <v>0</v>
      </c>
      <c r="S25" s="149">
        <f t="shared" ref="S25" si="36">SUM(S26:S28)</f>
        <v>0</v>
      </c>
      <c r="T25" s="149">
        <f t="shared" si="35"/>
        <v>0</v>
      </c>
      <c r="U25" s="149">
        <f t="shared" si="35"/>
        <v>0</v>
      </c>
      <c r="V25" s="149">
        <f t="shared" si="35"/>
        <v>0</v>
      </c>
      <c r="W25" s="149">
        <f t="shared" si="35"/>
        <v>0</v>
      </c>
      <c r="X25" s="136">
        <f>SUM(L25:W25)</f>
        <v>717093245.83000004</v>
      </c>
      <c r="Y25" s="108">
        <f>+C25/12</f>
        <v>60773193.740000002</v>
      </c>
      <c r="Z25" s="109">
        <f>+D25/12</f>
        <v>70794660.100833327</v>
      </c>
      <c r="AA25" s="109">
        <f t="shared" si="24"/>
        <v>69966339.704999998</v>
      </c>
      <c r="AB25" s="109">
        <f t="shared" si="23"/>
        <v>89328306.995833337</v>
      </c>
      <c r="AC25" s="109">
        <f t="shared" si="25"/>
        <v>97611242.470833316</v>
      </c>
      <c r="AD25" s="109">
        <f t="shared" ref="AD25:AE30" si="37">H25/12</f>
        <v>91466819.799999997</v>
      </c>
      <c r="AE25" s="109">
        <f t="shared" si="37"/>
        <v>96224607.05749999</v>
      </c>
      <c r="AF25" s="109">
        <f t="shared" ref="AF25:AF30" si="38">J25/12</f>
        <v>48850699.038333334</v>
      </c>
      <c r="AG25" s="158">
        <f t="shared" si="4"/>
        <v>1021243511.8648194</v>
      </c>
      <c r="AH25" s="109">
        <f t="shared" si="5"/>
        <v>1143004079.7048283</v>
      </c>
      <c r="AI25" s="109">
        <f t="shared" si="6"/>
        <v>1106062367.3857155</v>
      </c>
      <c r="AJ25" s="109">
        <f t="shared" si="7"/>
        <v>1366236698.1139045</v>
      </c>
      <c r="AK25" s="109">
        <f t="shared" si="8"/>
        <v>1398218466.5924332</v>
      </c>
      <c r="AL25" s="109">
        <f t="shared" si="9"/>
        <v>1249829900.6521142</v>
      </c>
      <c r="AM25" s="216">
        <f t="shared" ref="AM25:AM34" si="39">$AM$6*I25</f>
        <v>1278673461.3666482</v>
      </c>
      <c r="AN25" s="231">
        <f t="shared" ref="AN25:AN30" si="40">$AN$6*X25</f>
        <v>769836228.11016321</v>
      </c>
      <c r="AO25" s="235">
        <v>1241919421.6599998</v>
      </c>
      <c r="AP25" s="178"/>
      <c r="AQ25" s="187"/>
    </row>
    <row r="26" spans="1:43" s="99" customFormat="1" x14ac:dyDescent="0.25">
      <c r="A26" s="100" t="s">
        <v>17</v>
      </c>
      <c r="B26" s="101"/>
      <c r="C26" s="102">
        <v>436523233.31</v>
      </c>
      <c r="D26" s="103">
        <v>462563443.11000001</v>
      </c>
      <c r="E26" s="103">
        <v>498784058.57999998</v>
      </c>
      <c r="F26" s="103">
        <v>550912704.59000003</v>
      </c>
      <c r="G26" s="103">
        <v>618153406.75999999</v>
      </c>
      <c r="H26" s="103">
        <v>684338314.83000004</v>
      </c>
      <c r="I26" s="103">
        <v>695916445.15999997</v>
      </c>
      <c r="J26" s="103">
        <v>371752001.85000002</v>
      </c>
      <c r="K26" s="103">
        <v>832838660.58000004</v>
      </c>
      <c r="L26" s="148">
        <v>75584659</v>
      </c>
      <c r="M26" s="104">
        <v>93011657</v>
      </c>
      <c r="N26" s="104">
        <v>72066899</v>
      </c>
      <c r="O26" s="104">
        <v>113830942</v>
      </c>
      <c r="P26" s="104">
        <v>69260950</v>
      </c>
      <c r="Q26" s="104">
        <v>55097059</v>
      </c>
      <c r="R26" s="104"/>
      <c r="S26" s="104"/>
      <c r="T26" s="104"/>
      <c r="U26" s="104"/>
      <c r="V26" s="104"/>
      <c r="W26" s="104"/>
      <c r="X26" s="196">
        <f t="shared" ref="X26:X28" si="41">SUM(L26:W26)</f>
        <v>478852166</v>
      </c>
      <c r="Y26" s="102"/>
      <c r="Z26" s="103"/>
      <c r="AA26" s="103">
        <f t="shared" si="24"/>
        <v>41565338.214999996</v>
      </c>
      <c r="AB26" s="103">
        <f t="shared" si="23"/>
        <v>45909392.049166672</v>
      </c>
      <c r="AC26" s="103">
        <f t="shared" si="25"/>
        <v>51512783.896666668</v>
      </c>
      <c r="AD26" s="103">
        <f t="shared" si="37"/>
        <v>57028192.902500004</v>
      </c>
      <c r="AE26" s="103">
        <f t="shared" si="37"/>
        <v>57993037.096666664</v>
      </c>
      <c r="AF26" s="103">
        <f t="shared" si="38"/>
        <v>30979333.487500001</v>
      </c>
      <c r="AG26" s="159">
        <f t="shared" si="4"/>
        <v>611284477.52707374</v>
      </c>
      <c r="AH26" s="103">
        <f t="shared" si="5"/>
        <v>622353792.69659865</v>
      </c>
      <c r="AI26" s="103">
        <f t="shared" si="6"/>
        <v>657085343.91124403</v>
      </c>
      <c r="AJ26" s="103">
        <f t="shared" si="7"/>
        <v>702163718.47947252</v>
      </c>
      <c r="AK26" s="103">
        <f t="shared" si="8"/>
        <v>737887602.76692903</v>
      </c>
      <c r="AL26" s="103">
        <f t="shared" si="9"/>
        <v>779250233.31467342</v>
      </c>
      <c r="AM26" s="219">
        <f t="shared" si="39"/>
        <v>770636116.34441519</v>
      </c>
      <c r="AN26" s="227">
        <f t="shared" si="40"/>
        <v>514072259.69496024</v>
      </c>
      <c r="AO26" s="218">
        <v>832838660.58000004</v>
      </c>
      <c r="AP26" s="182"/>
      <c r="AQ26" s="186"/>
    </row>
    <row r="27" spans="1:43" s="105" customFormat="1" x14ac:dyDescent="0.25">
      <c r="A27" s="100" t="s">
        <v>18</v>
      </c>
      <c r="B27" s="101"/>
      <c r="C27" s="102">
        <v>254371264.08000001</v>
      </c>
      <c r="D27" s="103">
        <v>278778762.97000003</v>
      </c>
      <c r="E27" s="103">
        <v>279687792.20999998</v>
      </c>
      <c r="F27" s="103">
        <v>294574750.48000002</v>
      </c>
      <c r="G27" s="103">
        <v>322856823.44</v>
      </c>
      <c r="H27" s="103">
        <v>355815356.91000015</v>
      </c>
      <c r="I27" s="103">
        <v>405034501</v>
      </c>
      <c r="J27" s="103">
        <v>212669826.41999999</v>
      </c>
      <c r="K27" s="103">
        <v>406652187.13999999</v>
      </c>
      <c r="L27" s="148">
        <v>38949763</v>
      </c>
      <c r="M27" s="104">
        <v>39501982</v>
      </c>
      <c r="N27" s="104">
        <v>39225872</v>
      </c>
      <c r="O27" s="104">
        <v>39225872</v>
      </c>
      <c r="P27" s="104">
        <v>39225872</v>
      </c>
      <c r="Q27" s="104">
        <v>39225872</v>
      </c>
      <c r="R27" s="104"/>
      <c r="S27" s="104"/>
      <c r="T27" s="104"/>
      <c r="U27" s="104"/>
      <c r="V27" s="104"/>
      <c r="W27" s="104"/>
      <c r="X27" s="196">
        <f t="shared" si="41"/>
        <v>235355233</v>
      </c>
      <c r="Y27" s="102"/>
      <c r="Z27" s="103"/>
      <c r="AA27" s="103">
        <f t="shared" si="24"/>
        <v>23307316.017499998</v>
      </c>
      <c r="AB27" s="103">
        <f t="shared" si="23"/>
        <v>24547895.873333335</v>
      </c>
      <c r="AC27" s="103">
        <f t="shared" si="25"/>
        <v>26904735.286666665</v>
      </c>
      <c r="AD27" s="103">
        <f t="shared" si="37"/>
        <v>29651279.742500011</v>
      </c>
      <c r="AE27" s="103">
        <f t="shared" si="37"/>
        <v>33752875.083333336</v>
      </c>
      <c r="AF27" s="103">
        <f t="shared" si="38"/>
        <v>17722485.535</v>
      </c>
      <c r="AG27" s="159">
        <f t="shared" si="4"/>
        <v>356208314.69151044</v>
      </c>
      <c r="AH27" s="103">
        <f t="shared" si="5"/>
        <v>375081565.65754944</v>
      </c>
      <c r="AI27" s="103">
        <f t="shared" si="6"/>
        <v>368453534.09106225</v>
      </c>
      <c r="AJ27" s="103">
        <f t="shared" si="7"/>
        <v>375449141.84023714</v>
      </c>
      <c r="AK27" s="103">
        <f t="shared" si="8"/>
        <v>385393083.46412075</v>
      </c>
      <c r="AL27" s="103">
        <f t="shared" si="9"/>
        <v>405163928.2508086</v>
      </c>
      <c r="AM27" s="219">
        <f t="shared" si="39"/>
        <v>448522544.63447052</v>
      </c>
      <c r="AN27" s="227">
        <f t="shared" si="40"/>
        <v>252665864.43579724</v>
      </c>
      <c r="AO27" s="219">
        <v>406652187.13999999</v>
      </c>
      <c r="AP27" s="178"/>
      <c r="AQ27" s="187"/>
    </row>
    <row r="28" spans="1:43" s="105" customFormat="1" x14ac:dyDescent="0.25">
      <c r="A28" s="100" t="s">
        <v>19</v>
      </c>
      <c r="B28" s="101"/>
      <c r="C28" s="102">
        <v>5062140.67</v>
      </c>
      <c r="D28" s="103">
        <v>44579698.009999998</v>
      </c>
      <c r="E28" s="103">
        <v>23371124.670000002</v>
      </c>
      <c r="F28" s="103">
        <v>184636325.13</v>
      </c>
      <c r="G28" s="103">
        <v>230324679.44999999</v>
      </c>
      <c r="H28" s="103">
        <v>57448165.859999999</v>
      </c>
      <c r="I28" s="103">
        <v>53744338.530000001</v>
      </c>
      <c r="J28" s="103">
        <v>1786560.19</v>
      </c>
      <c r="K28" s="103">
        <v>2428573.9400000004</v>
      </c>
      <c r="L28" s="148">
        <v>299157.02</v>
      </c>
      <c r="M28" s="104">
        <v>2276801.75</v>
      </c>
      <c r="N28" s="104">
        <v>207839.26</v>
      </c>
      <c r="O28" s="104">
        <v>25233.5</v>
      </c>
      <c r="P28" s="104">
        <v>18886.2</v>
      </c>
      <c r="Q28" s="104">
        <v>57929.1</v>
      </c>
      <c r="R28" s="104"/>
      <c r="S28" s="104"/>
      <c r="T28" s="104"/>
      <c r="U28" s="104"/>
      <c r="V28" s="104"/>
      <c r="W28" s="104"/>
      <c r="X28" s="196">
        <f t="shared" si="41"/>
        <v>2885846.8300000005</v>
      </c>
      <c r="Y28" s="102"/>
      <c r="Z28" s="103"/>
      <c r="AA28" s="103">
        <f t="shared" si="24"/>
        <v>1947593.7225000001</v>
      </c>
      <c r="AB28" s="103">
        <f t="shared" si="23"/>
        <v>15386360.4275</v>
      </c>
      <c r="AC28" s="103">
        <f t="shared" si="25"/>
        <v>19193723.287499998</v>
      </c>
      <c r="AD28" s="103">
        <f t="shared" si="37"/>
        <v>4787347.1550000003</v>
      </c>
      <c r="AE28" s="103">
        <f t="shared" si="37"/>
        <v>4478694.8775000004</v>
      </c>
      <c r="AF28" s="103">
        <f t="shared" si="38"/>
        <v>148880.01583333334</v>
      </c>
      <c r="AG28" s="159">
        <f t="shared" si="4"/>
        <v>7088759.0361816678</v>
      </c>
      <c r="AH28" s="103">
        <f t="shared" si="5"/>
        <v>59979543.448691331</v>
      </c>
      <c r="AI28" s="103">
        <f t="shared" si="6"/>
        <v>30788521.058790877</v>
      </c>
      <c r="AJ28" s="103">
        <f t="shared" si="7"/>
        <v>235327534.72467104</v>
      </c>
      <c r="AK28" s="103">
        <f t="shared" si="8"/>
        <v>274937780.36138356</v>
      </c>
      <c r="AL28" s="103">
        <f t="shared" si="9"/>
        <v>65415739.086632505</v>
      </c>
      <c r="AM28" s="219">
        <f t="shared" si="39"/>
        <v>59514800.387762569</v>
      </c>
      <c r="AN28" s="227">
        <f t="shared" si="40"/>
        <v>3098103.9794056984</v>
      </c>
      <c r="AO28" s="219">
        <v>2428573.9400000004</v>
      </c>
      <c r="AP28" s="178"/>
      <c r="AQ28" s="187"/>
    </row>
    <row r="29" spans="1:43" s="105" customFormat="1" ht="16.5" x14ac:dyDescent="0.35">
      <c r="A29" s="110" t="s">
        <v>256</v>
      </c>
      <c r="B29" s="101"/>
      <c r="C29" s="102"/>
      <c r="D29" s="103">
        <f t="shared" ref="D29:H29" si="42">SUM(D30)</f>
        <v>31807008.559999999</v>
      </c>
      <c r="E29" s="103">
        <f t="shared" si="42"/>
        <v>18876550.5</v>
      </c>
      <c r="F29" s="103">
        <f t="shared" si="42"/>
        <v>41815903.75</v>
      </c>
      <c r="G29" s="109">
        <f t="shared" si="42"/>
        <v>25132947.600000001</v>
      </c>
      <c r="H29" s="109">
        <f t="shared" si="42"/>
        <v>22619653.199999999</v>
      </c>
      <c r="I29" s="109">
        <v>14912499</v>
      </c>
      <c r="J29" s="109">
        <v>0</v>
      </c>
      <c r="K29" s="109">
        <v>0</v>
      </c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36">
        <f t="shared" si="2"/>
        <v>0</v>
      </c>
      <c r="Y29" s="169">
        <f>SUM(Y30)</f>
        <v>2776807.2349999999</v>
      </c>
      <c r="Z29" s="168">
        <f t="shared" ref="Z29:AB29" si="43">SUM(Z30)</f>
        <v>2650584.0466666664</v>
      </c>
      <c r="AA29" s="168">
        <f t="shared" si="43"/>
        <v>1573045.875</v>
      </c>
      <c r="AB29" s="168">
        <f t="shared" si="43"/>
        <v>3484658.6458333335</v>
      </c>
      <c r="AC29" s="168">
        <f t="shared" si="25"/>
        <v>2094412.3</v>
      </c>
      <c r="AD29" s="168">
        <f t="shared" si="37"/>
        <v>1884971.0999999999</v>
      </c>
      <c r="AE29" s="168">
        <f t="shared" si="37"/>
        <v>1242708.25</v>
      </c>
      <c r="AF29" s="168">
        <f t="shared" si="38"/>
        <v>0</v>
      </c>
      <c r="AG29" s="167">
        <f t="shared" ref="AG29:AK29" si="44">SUM(AG30)</f>
        <v>46661960.610053651</v>
      </c>
      <c r="AH29" s="170">
        <f t="shared" si="44"/>
        <v>42794588.950994492</v>
      </c>
      <c r="AI29" s="170">
        <f t="shared" si="44"/>
        <v>24867484.162309226</v>
      </c>
      <c r="AJ29" s="170">
        <f t="shared" si="44"/>
        <v>53296303.069523878</v>
      </c>
      <c r="AK29" s="170">
        <f t="shared" si="44"/>
        <v>30001113.400368448</v>
      </c>
      <c r="AL29" s="170">
        <f t="shared" si="9"/>
        <v>25756807.198462438</v>
      </c>
      <c r="AM29" s="216">
        <f t="shared" si="39"/>
        <v>16513635.213359263</v>
      </c>
      <c r="AN29" s="231">
        <f t="shared" si="40"/>
        <v>0</v>
      </c>
      <c r="AO29" s="236">
        <v>0</v>
      </c>
      <c r="AP29" s="178"/>
      <c r="AQ29" s="187"/>
    </row>
    <row r="30" spans="1:43" s="105" customFormat="1" x14ac:dyDescent="0.25">
      <c r="A30" s="100" t="s">
        <v>20</v>
      </c>
      <c r="B30" s="101"/>
      <c r="C30" s="102">
        <v>33321686.82</v>
      </c>
      <c r="D30" s="103">
        <v>31807008.559999999</v>
      </c>
      <c r="E30" s="103">
        <v>18876550.5</v>
      </c>
      <c r="F30" s="103">
        <v>41815903.75</v>
      </c>
      <c r="G30" s="103">
        <v>25132947.600000001</v>
      </c>
      <c r="H30" s="103">
        <v>22619653.199999999</v>
      </c>
      <c r="I30" s="103">
        <v>14912499</v>
      </c>
      <c r="J30" s="103">
        <v>0</v>
      </c>
      <c r="K30" s="103">
        <v>0</v>
      </c>
      <c r="L30" s="148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95">
        <f t="shared" si="2"/>
        <v>0</v>
      </c>
      <c r="Y30" s="102">
        <f t="shared" ref="Y30:AA32" si="45">+C30/12</f>
        <v>2776807.2349999999</v>
      </c>
      <c r="Z30" s="103">
        <f t="shared" si="45"/>
        <v>2650584.0466666664</v>
      </c>
      <c r="AA30" s="103">
        <f t="shared" si="45"/>
        <v>1573045.875</v>
      </c>
      <c r="AB30" s="103">
        <f>F30/12</f>
        <v>3484658.6458333335</v>
      </c>
      <c r="AC30" s="103">
        <f t="shared" si="25"/>
        <v>2094412.3</v>
      </c>
      <c r="AD30" s="103">
        <f t="shared" si="37"/>
        <v>1884971.0999999999</v>
      </c>
      <c r="AE30" s="103">
        <f t="shared" si="37"/>
        <v>1242708.25</v>
      </c>
      <c r="AF30" s="103">
        <f t="shared" si="38"/>
        <v>0</v>
      </c>
      <c r="AG30" s="159">
        <f>$AG$6*C30</f>
        <v>46661960.610053651</v>
      </c>
      <c r="AH30" s="103">
        <f>$AH$6*D30</f>
        <v>42794588.950994492</v>
      </c>
      <c r="AI30" s="103">
        <f>$AI$6*E30</f>
        <v>24867484.162309226</v>
      </c>
      <c r="AJ30" s="103">
        <f>$AJ$6*$F30</f>
        <v>53296303.069523878</v>
      </c>
      <c r="AK30" s="103">
        <f t="shared" ref="AK30:AK73" si="46">$AK$6*G30</f>
        <v>30001113.400368448</v>
      </c>
      <c r="AL30" s="103">
        <f t="shared" si="9"/>
        <v>25756807.198462438</v>
      </c>
      <c r="AM30" s="219">
        <f t="shared" si="39"/>
        <v>16513635.213359263</v>
      </c>
      <c r="AN30" s="227">
        <f t="shared" si="40"/>
        <v>0</v>
      </c>
      <c r="AO30" s="219">
        <v>0</v>
      </c>
      <c r="AP30" s="178"/>
      <c r="AQ30" s="187"/>
    </row>
    <row r="31" spans="1:43" s="105" customFormat="1" ht="17.25" x14ac:dyDescent="0.4">
      <c r="A31" s="106" t="s">
        <v>238</v>
      </c>
      <c r="B31" s="107"/>
      <c r="C31" s="108">
        <f t="shared" ref="C31:E31" si="47">SUM(C32:C33)</f>
        <v>15808357.029999999</v>
      </c>
      <c r="D31" s="109">
        <f t="shared" si="47"/>
        <v>4201344.5999999996</v>
      </c>
      <c r="E31" s="109">
        <f t="shared" si="47"/>
        <v>0</v>
      </c>
      <c r="F31" s="109">
        <f>SUM(F32:F33)</f>
        <v>0</v>
      </c>
      <c r="G31" s="109">
        <v>0</v>
      </c>
      <c r="H31" s="109">
        <v>0</v>
      </c>
      <c r="I31" s="109"/>
      <c r="J31" s="109">
        <v>0</v>
      </c>
      <c r="K31" s="109">
        <v>0</v>
      </c>
      <c r="L31" s="149">
        <f>SUM(L32:L33)</f>
        <v>0</v>
      </c>
      <c r="M31" s="149">
        <f>SUM(M32:M33)</f>
        <v>0</v>
      </c>
      <c r="N31" s="250"/>
      <c r="O31" s="149"/>
      <c r="P31" s="149">
        <f t="shared" ref="P31:U31" si="48">SUM(P32:P33)</f>
        <v>0</v>
      </c>
      <c r="Q31" s="149">
        <f t="shared" si="48"/>
        <v>0</v>
      </c>
      <c r="R31" s="149">
        <f t="shared" si="48"/>
        <v>0</v>
      </c>
      <c r="S31" s="149">
        <f t="shared" ref="S31" si="49">SUM(S32:S33)</f>
        <v>0</v>
      </c>
      <c r="T31" s="149">
        <f t="shared" si="48"/>
        <v>0</v>
      </c>
      <c r="U31" s="149">
        <f t="shared" si="48"/>
        <v>0</v>
      </c>
      <c r="V31" s="149">
        <f>SUM(V32:V33)</f>
        <v>0</v>
      </c>
      <c r="W31" s="149">
        <f>SUM(W32:W33)</f>
        <v>0</v>
      </c>
      <c r="X31" s="136">
        <f t="shared" si="2"/>
        <v>0</v>
      </c>
      <c r="Y31" s="108">
        <f t="shared" si="45"/>
        <v>1317363.0858333332</v>
      </c>
      <c r="Z31" s="109">
        <f t="shared" si="45"/>
        <v>350112.05</v>
      </c>
      <c r="AA31" s="109">
        <f t="shared" si="45"/>
        <v>0</v>
      </c>
      <c r="AB31" s="109">
        <f>F31/12</f>
        <v>0</v>
      </c>
      <c r="AC31" s="109">
        <f t="shared" si="25"/>
        <v>0</v>
      </c>
      <c r="AD31" s="109">
        <v>0</v>
      </c>
      <c r="AE31" s="103">
        <f>I31/12</f>
        <v>0</v>
      </c>
      <c r="AF31" s="103">
        <f t="shared" ref="AF31" si="50">J31/12</f>
        <v>0</v>
      </c>
      <c r="AG31" s="158">
        <f>$AG$6*C31</f>
        <v>22137202.628072854</v>
      </c>
      <c r="AH31" s="109">
        <f>$AH$6*D31</f>
        <v>5652679.1841904782</v>
      </c>
      <c r="AI31" s="109">
        <f>$AI$6*E31</f>
        <v>0</v>
      </c>
      <c r="AJ31" s="109">
        <f>$AJ$6*$F31</f>
        <v>0</v>
      </c>
      <c r="AK31" s="109">
        <f t="shared" si="46"/>
        <v>0</v>
      </c>
      <c r="AL31" s="109">
        <f t="shared" si="9"/>
        <v>0</v>
      </c>
      <c r="AM31" s="216">
        <f t="shared" si="39"/>
        <v>0</v>
      </c>
      <c r="AN31" s="233">
        <f t="shared" ref="AN31:AN34" si="51">$AM$6*X31</f>
        <v>0</v>
      </c>
      <c r="AO31" s="236">
        <v>0</v>
      </c>
      <c r="AP31" s="178"/>
      <c r="AQ31" s="187"/>
    </row>
    <row r="32" spans="1:43" s="99" customFormat="1" x14ac:dyDescent="0.25">
      <c r="A32" s="100" t="s">
        <v>21</v>
      </c>
      <c r="B32" s="101"/>
      <c r="C32" s="102">
        <v>165808.69</v>
      </c>
      <c r="D32" s="103"/>
      <c r="E32" s="103"/>
      <c r="F32" s="103"/>
      <c r="G32" s="103">
        <v>0</v>
      </c>
      <c r="H32" s="103">
        <v>0</v>
      </c>
      <c r="I32" s="103"/>
      <c r="J32" s="103">
        <v>0</v>
      </c>
      <c r="K32" s="103">
        <v>0</v>
      </c>
      <c r="L32" s="148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37">
        <f t="shared" si="2"/>
        <v>0</v>
      </c>
      <c r="Y32" s="102">
        <f t="shared" si="45"/>
        <v>13817.390833333333</v>
      </c>
      <c r="Z32" s="103">
        <f t="shared" si="45"/>
        <v>0</v>
      </c>
      <c r="AA32" s="103">
        <f t="shared" si="45"/>
        <v>0</v>
      </c>
      <c r="AB32" s="103">
        <f>F32/12</f>
        <v>0</v>
      </c>
      <c r="AC32" s="103">
        <f t="shared" si="25"/>
        <v>0</v>
      </c>
      <c r="AD32" s="103">
        <v>0</v>
      </c>
      <c r="AE32" s="103">
        <f>I32/12</f>
        <v>0</v>
      </c>
      <c r="AF32" s="103">
        <f>J32/12</f>
        <v>0</v>
      </c>
      <c r="AG32" s="159">
        <f>$AG$6*C32</f>
        <v>232189.88292455827</v>
      </c>
      <c r="AH32" s="103">
        <f>$AH$6*D32</f>
        <v>0</v>
      </c>
      <c r="AI32" s="103">
        <f>$AI$6*E32</f>
        <v>0</v>
      </c>
      <c r="AJ32" s="103">
        <f>$AJ$6*$F32</f>
        <v>0</v>
      </c>
      <c r="AK32" s="103">
        <f t="shared" si="46"/>
        <v>0</v>
      </c>
      <c r="AL32" s="103">
        <f t="shared" si="9"/>
        <v>0</v>
      </c>
      <c r="AM32" s="219">
        <f t="shared" si="39"/>
        <v>0</v>
      </c>
      <c r="AN32" s="227">
        <f t="shared" si="51"/>
        <v>0</v>
      </c>
      <c r="AO32" s="217">
        <v>0</v>
      </c>
      <c r="AP32" s="182"/>
      <c r="AQ32" s="186"/>
    </row>
    <row r="33" spans="1:44" s="105" customFormat="1" ht="12" x14ac:dyDescent="0.2">
      <c r="A33" s="100" t="s">
        <v>22</v>
      </c>
      <c r="B33" s="101"/>
      <c r="C33" s="102">
        <v>15642548.34</v>
      </c>
      <c r="D33" s="103">
        <v>4201344.5999999996</v>
      </c>
      <c r="E33" s="103"/>
      <c r="F33" s="103"/>
      <c r="G33" s="103">
        <v>0</v>
      </c>
      <c r="H33" s="103">
        <v>0</v>
      </c>
      <c r="I33" s="103"/>
      <c r="J33" s="103">
        <v>0</v>
      </c>
      <c r="K33" s="103">
        <v>0</v>
      </c>
      <c r="L33" s="148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37">
        <f t="shared" si="2"/>
        <v>0</v>
      </c>
      <c r="Y33" s="102"/>
      <c r="Z33" s="103"/>
      <c r="AA33" s="103">
        <f>+E33/12</f>
        <v>0</v>
      </c>
      <c r="AB33" s="103">
        <f>F33/12</f>
        <v>0</v>
      </c>
      <c r="AC33" s="103">
        <f t="shared" si="25"/>
        <v>0</v>
      </c>
      <c r="AD33" s="103">
        <v>0</v>
      </c>
      <c r="AE33" s="103">
        <f>I33/12</f>
        <v>0</v>
      </c>
      <c r="AF33" s="103">
        <f>J33/12</f>
        <v>0</v>
      </c>
      <c r="AG33" s="159">
        <f>$AG$6*C33</f>
        <v>21905012.745148297</v>
      </c>
      <c r="AH33" s="103">
        <f>$AH$6*D33</f>
        <v>5652679.1841904782</v>
      </c>
      <c r="AI33" s="103">
        <f>$AI$6*E33</f>
        <v>0</v>
      </c>
      <c r="AJ33" s="103">
        <f>$AJ$6*$F33</f>
        <v>0</v>
      </c>
      <c r="AK33" s="103">
        <f t="shared" si="46"/>
        <v>0</v>
      </c>
      <c r="AL33" s="103">
        <f t="shared" si="9"/>
        <v>0</v>
      </c>
      <c r="AM33" s="219">
        <f t="shared" si="39"/>
        <v>0</v>
      </c>
      <c r="AN33" s="227">
        <f t="shared" si="51"/>
        <v>0</v>
      </c>
      <c r="AO33" s="219">
        <v>0</v>
      </c>
      <c r="AP33" s="178"/>
      <c r="AQ33" s="187"/>
    </row>
    <row r="34" spans="1:44" s="105" customFormat="1" ht="12.75" x14ac:dyDescent="0.2">
      <c r="A34" s="17"/>
      <c r="B34" s="27"/>
      <c r="C34" s="89"/>
      <c r="D34" s="29"/>
      <c r="E34" s="29"/>
      <c r="F34" s="29"/>
      <c r="G34" s="29"/>
      <c r="H34" s="29"/>
      <c r="I34" s="29"/>
      <c r="J34" s="29">
        <v>0</v>
      </c>
      <c r="K34" s="29"/>
      <c r="L34" s="15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137"/>
      <c r="Y34" s="89"/>
      <c r="Z34" s="29"/>
      <c r="AA34" s="29"/>
      <c r="AB34" s="29"/>
      <c r="AC34" s="29"/>
      <c r="AD34" s="29"/>
      <c r="AE34" s="29">
        <f>+X34/$AE$5</f>
        <v>0</v>
      </c>
      <c r="AF34" s="29">
        <f>+Y34/$AE$5</f>
        <v>0</v>
      </c>
      <c r="AG34" s="28"/>
      <c r="AH34" s="29"/>
      <c r="AI34" s="29"/>
      <c r="AJ34" s="29"/>
      <c r="AK34" s="29">
        <f t="shared" si="46"/>
        <v>0</v>
      </c>
      <c r="AL34" s="29">
        <f t="shared" si="9"/>
        <v>0</v>
      </c>
      <c r="AM34" s="219">
        <f t="shared" si="39"/>
        <v>0</v>
      </c>
      <c r="AN34" s="227">
        <f t="shared" si="51"/>
        <v>0</v>
      </c>
      <c r="AO34" s="219"/>
      <c r="AP34" s="178"/>
      <c r="AQ34" s="187"/>
    </row>
    <row r="35" spans="1:44" ht="15.75" thickBot="1" x14ac:dyDescent="0.3">
      <c r="A35" s="112" t="s">
        <v>23</v>
      </c>
      <c r="B35" s="113"/>
      <c r="C35" s="114">
        <f>+C8+C14+C17+C20+C25+C31</f>
        <v>1225067133.8999999</v>
      </c>
      <c r="D35" s="115">
        <f>+D8+D14+D17+D20+D25+D31</f>
        <v>1214592301.54</v>
      </c>
      <c r="E35" s="115">
        <f>+E8+E14+E17+E20+E25+E31</f>
        <v>1244308060.8999999</v>
      </c>
      <c r="F35" s="115">
        <f>+F8+F14+F17+F20+F25+F31</f>
        <v>1533586889.3800001</v>
      </c>
      <c r="G35" s="115">
        <v>1621951095.8599999</v>
      </c>
      <c r="H35" s="115">
        <v>1540472285.0499997</v>
      </c>
      <c r="I35" s="115">
        <v>1624699073.27</v>
      </c>
      <c r="J35" s="115">
        <v>910226809.77999997</v>
      </c>
      <c r="K35" s="115">
        <v>1741283337.25</v>
      </c>
      <c r="L35" s="151">
        <f>+L31+L29+L25+L20++L17+L14+L8</f>
        <v>193073795.33000001</v>
      </c>
      <c r="M35" s="151">
        <f t="shared" ref="M35:O35" si="52">+M31+M29+M25+M20++M17+M14+M8</f>
        <v>215849027.31</v>
      </c>
      <c r="N35" s="151">
        <f t="shared" si="52"/>
        <v>174686183.63</v>
      </c>
      <c r="O35" s="151">
        <f t="shared" si="52"/>
        <v>180494799.59000003</v>
      </c>
      <c r="P35" s="151">
        <f t="shared" ref="P35:R35" si="53">+P31+P29+P25+P20++P17+P14+P8</f>
        <v>138594422.13</v>
      </c>
      <c r="Q35" s="151">
        <f t="shared" si="53"/>
        <v>134975653.94</v>
      </c>
      <c r="R35" s="151">
        <f t="shared" si="53"/>
        <v>0</v>
      </c>
      <c r="S35" s="151">
        <f t="shared" ref="S35" si="54">+S31+S29+S25+S20++S17+S14+S8</f>
        <v>0</v>
      </c>
      <c r="T35" s="151">
        <f>+T31+T29+T25+T20++T17+T14+T8</f>
        <v>0</v>
      </c>
      <c r="U35" s="151">
        <f>+U31+U29+U25+U20++U17+U14+U8</f>
        <v>0</v>
      </c>
      <c r="V35" s="151">
        <f>+V31+V29+V25+V20++V17+V14+V8</f>
        <v>0</v>
      </c>
      <c r="W35" s="151">
        <f>+W31+W29+W25+W20++W17+W14+W8</f>
        <v>0</v>
      </c>
      <c r="X35" s="138">
        <f>+X31+X29+X25+X20++X17+X14+X8</f>
        <v>1037673881.9300001</v>
      </c>
      <c r="Y35" s="114">
        <f>+C35/12</f>
        <v>102088927.82499999</v>
      </c>
      <c r="Z35" s="115">
        <f>+D35/12</f>
        <v>101216025.12833333</v>
      </c>
      <c r="AA35" s="115">
        <f>+E35/12</f>
        <v>103692338.40833332</v>
      </c>
      <c r="AB35" s="115">
        <f>F35/12</f>
        <v>127798907.44833334</v>
      </c>
      <c r="AC35" s="115">
        <f>G35/12</f>
        <v>135162591.32166666</v>
      </c>
      <c r="AD35" s="115">
        <f>H35/12</f>
        <v>128372690.4208333</v>
      </c>
      <c r="AE35" s="115">
        <f>I35/12</f>
        <v>135391589.43916667</v>
      </c>
      <c r="AF35" s="115">
        <f>J35/12</f>
        <v>75852234.148333326</v>
      </c>
      <c r="AG35" s="160">
        <f>$AG$6*C35</f>
        <v>1715520425.3466156</v>
      </c>
      <c r="AH35" s="115">
        <f>$AH$6*D35</f>
        <v>1634167456.8168399</v>
      </c>
      <c r="AI35" s="115">
        <f>$AI$6*E35</f>
        <v>1639219570.1997805</v>
      </c>
      <c r="AJ35" s="115">
        <f>$AJ$6*$F35</f>
        <v>1954627409.9084818</v>
      </c>
      <c r="AK35" s="115">
        <f t="shared" si="46"/>
        <v>1936117463.466471</v>
      </c>
      <c r="AL35" s="115">
        <f t="shared" si="9"/>
        <v>1754122721.9437525</v>
      </c>
      <c r="AM35" s="220">
        <f>$AM$6*X35</f>
        <v>1149087618.1532319</v>
      </c>
      <c r="AN35" s="230">
        <f>$AN$6*X35</f>
        <v>1113995916.0385139</v>
      </c>
      <c r="AO35" s="237">
        <v>1741283337.25</v>
      </c>
    </row>
    <row r="36" spans="1:44" s="93" customFormat="1" x14ac:dyDescent="0.25">
      <c r="A36" s="17"/>
      <c r="B36" s="27"/>
      <c r="C36" s="89"/>
      <c r="D36" s="29"/>
      <c r="E36" s="29"/>
      <c r="F36" s="29"/>
      <c r="G36" s="29"/>
      <c r="H36" s="29"/>
      <c r="I36" s="29"/>
      <c r="J36" s="29"/>
      <c r="K36" s="29"/>
      <c r="L36" s="152"/>
      <c r="M36" s="152"/>
      <c r="N36" s="152"/>
      <c r="O36" s="152"/>
      <c r="P36" s="152"/>
      <c r="Q36" s="152"/>
      <c r="R36" s="152"/>
      <c r="S36" s="152"/>
      <c r="T36" s="152"/>
      <c r="U36" s="152">
        <f>+T36-S36</f>
        <v>0</v>
      </c>
      <c r="V36" s="152">
        <f>+U36-T36</f>
        <v>0</v>
      </c>
      <c r="W36" s="152">
        <f t="shared" ref="W36" si="55">+V36-U36</f>
        <v>0</v>
      </c>
      <c r="X36" s="127"/>
      <c r="Y36" s="89"/>
      <c r="Z36" s="29"/>
      <c r="AA36" s="29"/>
      <c r="AB36" s="29"/>
      <c r="AC36" s="29">
        <f t="shared" ref="AC36:AC73" si="56">G36/12</f>
        <v>0</v>
      </c>
      <c r="AD36" s="29"/>
      <c r="AE36" s="29">
        <f>+X36/$AE$5</f>
        <v>0</v>
      </c>
      <c r="AF36" s="29"/>
      <c r="AG36" s="28"/>
      <c r="AH36" s="29"/>
      <c r="AI36" s="29"/>
      <c r="AJ36" s="29">
        <f>$AJ$6*$F36</f>
        <v>0</v>
      </c>
      <c r="AK36" s="29">
        <f t="shared" si="46"/>
        <v>0</v>
      </c>
      <c r="AL36" s="29">
        <f t="shared" si="9"/>
        <v>0</v>
      </c>
      <c r="AM36" s="215">
        <f>$AM$6*X36</f>
        <v>0</v>
      </c>
      <c r="AN36" s="29"/>
      <c r="AO36" s="222"/>
      <c r="AP36" s="179"/>
      <c r="AQ36" s="188"/>
    </row>
    <row r="37" spans="1:44" x14ac:dyDescent="0.25">
      <c r="A37" s="18" t="s">
        <v>24</v>
      </c>
      <c r="B37" s="27"/>
      <c r="C37" s="89"/>
      <c r="D37" s="29"/>
      <c r="E37" s="29"/>
      <c r="F37" s="29"/>
      <c r="G37" s="29"/>
      <c r="H37" s="29"/>
      <c r="I37" s="29"/>
      <c r="J37" s="29"/>
      <c r="K37" s="29"/>
      <c r="L37" s="152"/>
      <c r="M37" s="29"/>
      <c r="N37" s="29"/>
      <c r="O37" s="29"/>
      <c r="P37" s="29"/>
      <c r="Q37" s="152"/>
      <c r="R37" s="152"/>
      <c r="S37" s="152"/>
      <c r="T37" s="152"/>
      <c r="U37" s="152">
        <f>+T37-S37</f>
        <v>0</v>
      </c>
      <c r="V37" s="152">
        <f>+U37-T37</f>
        <v>0</v>
      </c>
      <c r="W37" s="152">
        <f t="shared" ref="W37" si="57">+V37-U37</f>
        <v>0</v>
      </c>
      <c r="X37" s="127"/>
      <c r="Y37" s="89"/>
      <c r="Z37" s="29"/>
      <c r="AA37" s="29"/>
      <c r="AB37" s="29"/>
      <c r="AC37" s="29">
        <f t="shared" si="56"/>
        <v>0</v>
      </c>
      <c r="AD37" s="29"/>
      <c r="AE37" s="29">
        <f>+X37/$AE$5</f>
        <v>0</v>
      </c>
      <c r="AF37" s="29"/>
      <c r="AG37" s="28"/>
      <c r="AH37" s="29"/>
      <c r="AI37" s="29"/>
      <c r="AJ37" s="29"/>
      <c r="AK37" s="29">
        <f t="shared" si="46"/>
        <v>0</v>
      </c>
      <c r="AL37" s="29">
        <f t="shared" si="9"/>
        <v>0</v>
      </c>
      <c r="AM37" s="215">
        <f>$AM$6*X37</f>
        <v>0</v>
      </c>
      <c r="AN37" s="29"/>
      <c r="AO37" s="221"/>
    </row>
    <row r="38" spans="1:44" x14ac:dyDescent="0.25">
      <c r="A38" s="106" t="s">
        <v>239</v>
      </c>
      <c r="B38" s="27"/>
      <c r="C38" s="89"/>
      <c r="D38" s="29"/>
      <c r="E38" s="29"/>
      <c r="F38" s="29"/>
      <c r="G38" s="29"/>
      <c r="H38" s="29"/>
      <c r="I38" s="29"/>
      <c r="J38" s="29"/>
      <c r="K38" s="29"/>
      <c r="L38" s="152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127"/>
      <c r="Y38" s="89"/>
      <c r="Z38" s="29"/>
      <c r="AA38" s="29"/>
      <c r="AB38" s="29"/>
      <c r="AC38" s="29">
        <f t="shared" si="56"/>
        <v>0</v>
      </c>
      <c r="AD38" s="29"/>
      <c r="AE38" s="29">
        <f>+X38/$AE$5</f>
        <v>0</v>
      </c>
      <c r="AF38" s="29"/>
      <c r="AG38" s="28"/>
      <c r="AH38" s="29"/>
      <c r="AI38" s="29"/>
      <c r="AJ38" s="29"/>
      <c r="AK38" s="29">
        <f t="shared" si="46"/>
        <v>0</v>
      </c>
      <c r="AL38" s="29">
        <f t="shared" si="9"/>
        <v>0</v>
      </c>
      <c r="AM38" s="215">
        <f>$AM$6*X38</f>
        <v>0</v>
      </c>
      <c r="AN38" s="29"/>
      <c r="AO38" s="221"/>
    </row>
    <row r="39" spans="1:44" ht="17.25" x14ac:dyDescent="0.4">
      <c r="A39" s="106" t="s">
        <v>240</v>
      </c>
      <c r="B39" s="96"/>
      <c r="C39" s="97">
        <f>SUM(C40:C45)</f>
        <v>374330571.14999998</v>
      </c>
      <c r="D39" s="98">
        <f t="shared" ref="D39:E39" si="58">SUM(D40:D45)</f>
        <v>401815547.27999997</v>
      </c>
      <c r="E39" s="98">
        <f t="shared" si="58"/>
        <v>411982025.31</v>
      </c>
      <c r="F39" s="98">
        <v>451095885.26999998</v>
      </c>
      <c r="G39" s="98">
        <v>466531307.5</v>
      </c>
      <c r="H39" s="98">
        <v>513848034.11999995</v>
      </c>
      <c r="I39" s="98">
        <v>458756125.16000003</v>
      </c>
      <c r="J39" s="98">
        <v>243907277.25</v>
      </c>
      <c r="K39" s="98">
        <v>519385802.48000014</v>
      </c>
      <c r="L39" s="153">
        <f>SUM(L40:L45)</f>
        <v>45237391.119999997</v>
      </c>
      <c r="M39" s="153">
        <f>SUM(M40:M45)</f>
        <v>45033536.800000004</v>
      </c>
      <c r="N39" s="153">
        <f t="shared" ref="N39:W39" si="59">SUM(N40:N45)</f>
        <v>45220704.999999985</v>
      </c>
      <c r="O39" s="153">
        <f t="shared" si="59"/>
        <v>48094169.079999998</v>
      </c>
      <c r="P39" s="153">
        <f t="shared" si="59"/>
        <v>45602267.969999999</v>
      </c>
      <c r="Q39" s="153">
        <f t="shared" si="59"/>
        <v>53779790.43</v>
      </c>
      <c r="R39" s="153">
        <f t="shared" si="59"/>
        <v>0</v>
      </c>
      <c r="S39" s="153">
        <f t="shared" ref="S39:T39" si="60">SUM(S40:S45)</f>
        <v>0</v>
      </c>
      <c r="T39" s="153">
        <f t="shared" si="60"/>
        <v>0</v>
      </c>
      <c r="U39" s="153">
        <f t="shared" si="59"/>
        <v>0</v>
      </c>
      <c r="V39" s="153">
        <f t="shared" si="59"/>
        <v>0</v>
      </c>
      <c r="W39" s="153">
        <f t="shared" si="59"/>
        <v>0</v>
      </c>
      <c r="X39" s="128">
        <f t="shared" ref="X39:X76" si="61">SUM(L39:W39)</f>
        <v>282967860.39999998</v>
      </c>
      <c r="Y39" s="117">
        <f t="shared" ref="Y39:Y73" si="62">+C39/12</f>
        <v>31194214.262499999</v>
      </c>
      <c r="Z39" s="118">
        <f t="shared" ref="Z39:Z73" si="63">+D39/12</f>
        <v>33484628.939999998</v>
      </c>
      <c r="AA39" s="119">
        <f t="shared" ref="AA39:AA73" si="64">+E39/12</f>
        <v>34331835.442500003</v>
      </c>
      <c r="AB39" s="118">
        <f t="shared" ref="AB39:AB73" si="65">F39/12</f>
        <v>37591323.772500001</v>
      </c>
      <c r="AC39" s="118">
        <f t="shared" si="56"/>
        <v>38877608.958333336</v>
      </c>
      <c r="AD39" s="118">
        <f t="shared" ref="AD39:AD73" si="66">H39/12</f>
        <v>42820669.509999998</v>
      </c>
      <c r="AE39" s="118">
        <f t="shared" ref="AE39:AE73" si="67">I39/12</f>
        <v>38229677.096666671</v>
      </c>
      <c r="AF39" s="118">
        <f t="shared" ref="AF39:AF73" si="68">J39/12</f>
        <v>20325606.4375</v>
      </c>
      <c r="AG39" s="161">
        <f t="shared" ref="AG39:AG73" si="69">$AG$6*C39</f>
        <v>524193101.64263117</v>
      </c>
      <c r="AH39" s="98">
        <f t="shared" ref="AH39:AH73" si="70">$AH$6*D39</f>
        <v>540620824.10325515</v>
      </c>
      <c r="AI39" s="98">
        <f t="shared" ref="AI39:AI73" si="71">$AI$6*E39</f>
        <v>542734568.45584702</v>
      </c>
      <c r="AJ39" s="98">
        <f t="shared" ref="AJ39:AJ73" si="72">$AJ$6*$F39</f>
        <v>574942566.31402087</v>
      </c>
      <c r="AK39" s="98">
        <f t="shared" si="46"/>
        <v>556896822.60466981</v>
      </c>
      <c r="AL39" s="98">
        <f t="shared" si="9"/>
        <v>585114397.0738591</v>
      </c>
      <c r="AM39" s="223">
        <f t="shared" ref="AM39:AM73" si="73">$AM$6*I39</f>
        <v>508012191.83896846</v>
      </c>
      <c r="AN39" s="223">
        <f t="shared" ref="AN39:AN47" si="74">$AN$6*X39</f>
        <v>303780451.97539324</v>
      </c>
      <c r="AO39" s="239">
        <v>519385802.48000014</v>
      </c>
      <c r="AP39" s="180"/>
      <c r="AQ39" s="186"/>
      <c r="AR39" s="32"/>
    </row>
    <row r="40" spans="1:44" s="99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29">
        <v>292753634.16000003</v>
      </c>
      <c r="J40" s="29">
        <v>170058297.76999998</v>
      </c>
      <c r="K40" s="29">
        <v>350807219.74999994</v>
      </c>
      <c r="L40" s="152">
        <v>32542627.120000001</v>
      </c>
      <c r="M40" s="29">
        <v>29804408.68</v>
      </c>
      <c r="N40" s="29">
        <v>32592875.280000001</v>
      </c>
      <c r="O40" s="29">
        <v>31244264.469999999</v>
      </c>
      <c r="P40" s="29">
        <v>33237593.93</v>
      </c>
      <c r="Q40" s="29">
        <v>31813823.43</v>
      </c>
      <c r="R40" s="29"/>
      <c r="S40" s="29"/>
      <c r="T40" s="29"/>
      <c r="U40" s="29"/>
      <c r="V40" s="29"/>
      <c r="W40" s="29"/>
      <c r="X40" s="127">
        <f t="shared" ref="X40:X52" si="75">SUM(L40:W40)</f>
        <v>191235592.91</v>
      </c>
      <c r="Y40" s="89">
        <f t="shared" si="62"/>
        <v>16423463.297499999</v>
      </c>
      <c r="Z40" s="29">
        <f t="shared" si="63"/>
        <v>17024857.030000001</v>
      </c>
      <c r="AA40" s="111">
        <f t="shared" si="64"/>
        <v>18059003.104166668</v>
      </c>
      <c r="AB40" s="29">
        <f t="shared" si="65"/>
        <v>18501633.605833333</v>
      </c>
      <c r="AC40" s="29">
        <f t="shared" si="56"/>
        <v>19668622.119166669</v>
      </c>
      <c r="AD40" s="29">
        <f t="shared" si="66"/>
        <v>20832564.359166671</v>
      </c>
      <c r="AE40" s="29">
        <f t="shared" si="67"/>
        <v>24396136.180000003</v>
      </c>
      <c r="AF40" s="29">
        <f t="shared" si="68"/>
        <v>14171524.814166665</v>
      </c>
      <c r="AG40" s="28">
        <f t="shared" si="69"/>
        <v>275982786.20467752</v>
      </c>
      <c r="AH40" s="29">
        <f t="shared" si="70"/>
        <v>274872158.63407141</v>
      </c>
      <c r="AI40" s="29">
        <f t="shared" si="71"/>
        <v>285485617.94484073</v>
      </c>
      <c r="AJ40" s="29">
        <f t="shared" si="72"/>
        <v>282974251.47132868</v>
      </c>
      <c r="AK40" s="29">
        <f t="shared" si="46"/>
        <v>281740401.6516301</v>
      </c>
      <c r="AL40" s="29">
        <f t="shared" ref="AL40:AL73" si="76">$AL$6*H40</f>
        <v>284662371.56029397</v>
      </c>
      <c r="AM40" s="215">
        <f t="shared" si="73"/>
        <v>324186222.70509267</v>
      </c>
      <c r="AN40" s="215">
        <f t="shared" si="74"/>
        <v>205301177.19327432</v>
      </c>
      <c r="AO40" s="240">
        <v>350807219.74999994</v>
      </c>
      <c r="AP40" s="183"/>
      <c r="AQ40" s="3"/>
      <c r="AR40" s="185"/>
    </row>
    <row r="41" spans="1:44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29">
        <v>8536339.9299999997</v>
      </c>
      <c r="J41" s="29">
        <v>1082348.9600000002</v>
      </c>
      <c r="K41" s="29">
        <v>5045786</v>
      </c>
      <c r="L41" s="152">
        <v>892305.01</v>
      </c>
      <c r="M41" s="29">
        <v>806607.37</v>
      </c>
      <c r="N41" s="29">
        <v>994523.66</v>
      </c>
      <c r="O41" s="29">
        <v>1720993.1600000001</v>
      </c>
      <c r="P41" s="29">
        <v>1248617.6200000001</v>
      </c>
      <c r="Q41" s="29">
        <v>1293762.04</v>
      </c>
      <c r="R41" s="29"/>
      <c r="S41" s="29"/>
      <c r="T41" s="29"/>
      <c r="U41" s="29"/>
      <c r="V41" s="29"/>
      <c r="W41" s="29"/>
      <c r="X41" s="127">
        <f t="shared" si="75"/>
        <v>6956808.8600000003</v>
      </c>
      <c r="Y41" s="89">
        <f t="shared" si="62"/>
        <v>1104662.6624999999</v>
      </c>
      <c r="Z41" s="29">
        <f t="shared" si="63"/>
        <v>917294.98749999993</v>
      </c>
      <c r="AA41" s="29">
        <f t="shared" si="64"/>
        <v>802759.60416666663</v>
      </c>
      <c r="AB41" s="29">
        <f t="shared" si="65"/>
        <v>717962.70500000007</v>
      </c>
      <c r="AC41" s="29">
        <f t="shared" si="56"/>
        <v>755516.23666666669</v>
      </c>
      <c r="AD41" s="29">
        <f t="shared" si="66"/>
        <v>893774.94249999989</v>
      </c>
      <c r="AE41" s="29">
        <f t="shared" si="67"/>
        <v>711361.66083333327</v>
      </c>
      <c r="AF41" s="29">
        <f t="shared" si="68"/>
        <v>90195.746666666688</v>
      </c>
      <c r="AG41" s="28">
        <f t="shared" si="69"/>
        <v>18562947.040496308</v>
      </c>
      <c r="AH41" s="29">
        <f t="shared" si="70"/>
        <v>14810042.332457609</v>
      </c>
      <c r="AI41" s="29">
        <f t="shared" si="71"/>
        <v>12690419.306910681</v>
      </c>
      <c r="AJ41" s="29">
        <f t="shared" si="72"/>
        <v>10980920.029010303</v>
      </c>
      <c r="AK41" s="29">
        <f t="shared" si="46"/>
        <v>10822285.703753874</v>
      </c>
      <c r="AL41" s="29">
        <f t="shared" si="76"/>
        <v>12212807.333114736</v>
      </c>
      <c r="AM41" s="215">
        <f t="shared" si="73"/>
        <v>9452875.9841829818</v>
      </c>
      <c r="AN41" s="215">
        <f t="shared" si="74"/>
        <v>7468489.661016006</v>
      </c>
      <c r="AO41" s="221">
        <v>5045786</v>
      </c>
      <c r="AP41" s="180"/>
    </row>
    <row r="42" spans="1:44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29">
        <v>63493198.75</v>
      </c>
      <c r="J42" s="29">
        <v>33224096.5</v>
      </c>
      <c r="K42" s="29">
        <v>75520390.680000007</v>
      </c>
      <c r="L42" s="152">
        <v>6210984.6399999997</v>
      </c>
      <c r="M42" s="29">
        <v>6000552.2300000004</v>
      </c>
      <c r="N42" s="29">
        <v>5997848.6200000001</v>
      </c>
      <c r="O42" s="29">
        <v>6219976.8399999999</v>
      </c>
      <c r="P42" s="29">
        <v>5903322.71</v>
      </c>
      <c r="Q42" s="29">
        <v>8034443.7800000003</v>
      </c>
      <c r="R42" s="29"/>
      <c r="S42" s="29"/>
      <c r="T42" s="29"/>
      <c r="U42" s="29"/>
      <c r="V42" s="29"/>
      <c r="W42" s="29"/>
      <c r="X42" s="127">
        <f t="shared" si="75"/>
        <v>38367128.82</v>
      </c>
      <c r="Y42" s="89">
        <f t="shared" si="62"/>
        <v>3205304.9633333334</v>
      </c>
      <c r="Z42" s="29">
        <f t="shared" si="63"/>
        <v>3913003.7958333329</v>
      </c>
      <c r="AA42" s="29">
        <f t="shared" si="64"/>
        <v>3876250.3325</v>
      </c>
      <c r="AB42" s="29">
        <f t="shared" si="65"/>
        <v>4620301.6633333331</v>
      </c>
      <c r="AC42" s="29">
        <f t="shared" si="56"/>
        <v>4632226.8283333331</v>
      </c>
      <c r="AD42" s="29">
        <f t="shared" si="66"/>
        <v>4973050.04</v>
      </c>
      <c r="AE42" s="29">
        <f t="shared" si="67"/>
        <v>5291099.895833333</v>
      </c>
      <c r="AF42" s="29">
        <f t="shared" si="68"/>
        <v>2768674.7083333335</v>
      </c>
      <c r="AG42" s="28">
        <f t="shared" si="69"/>
        <v>53862512.333258688</v>
      </c>
      <c r="AH42" s="29">
        <f t="shared" si="70"/>
        <v>63176788.986170039</v>
      </c>
      <c r="AI42" s="29">
        <f t="shared" si="71"/>
        <v>61277674.913701817</v>
      </c>
      <c r="AJ42" s="29">
        <f t="shared" si="72"/>
        <v>70665457.581068382</v>
      </c>
      <c r="AK42" s="29">
        <f t="shared" si="46"/>
        <v>66353679.44174955</v>
      </c>
      <c r="AL42" s="29">
        <f t="shared" si="76"/>
        <v>67953238.682856157</v>
      </c>
      <c r="AM42" s="215">
        <f t="shared" si="73"/>
        <v>70310383.436526522</v>
      </c>
      <c r="AN42" s="215">
        <f t="shared" si="74"/>
        <v>41189072.559201986</v>
      </c>
      <c r="AO42" s="221">
        <v>75520390.680000007</v>
      </c>
      <c r="AP42" s="180"/>
    </row>
    <row r="43" spans="1:44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29">
        <v>61090603.759999998</v>
      </c>
      <c r="J43" s="29">
        <v>33015838.020000003</v>
      </c>
      <c r="K43" s="29">
        <v>65890176</v>
      </c>
      <c r="L43" s="152">
        <v>4262241.3</v>
      </c>
      <c r="M43" s="29">
        <v>6920923.0700000003</v>
      </c>
      <c r="N43" s="29">
        <v>4054075.98</v>
      </c>
      <c r="O43" s="29">
        <v>7067356.7999999998</v>
      </c>
      <c r="P43" s="29">
        <v>4090192.23</v>
      </c>
      <c r="Q43" s="29">
        <v>7071562.4100000001</v>
      </c>
      <c r="R43" s="29"/>
      <c r="S43" s="29"/>
      <c r="T43" s="29"/>
      <c r="U43" s="29"/>
      <c r="V43" s="29"/>
      <c r="W43" s="29"/>
      <c r="X43" s="127">
        <f t="shared" si="75"/>
        <v>33466351.790000003</v>
      </c>
      <c r="Y43" s="89">
        <f t="shared" si="62"/>
        <v>3649569.7558333334</v>
      </c>
      <c r="Z43" s="29">
        <f t="shared" si="63"/>
        <v>3813892.1508333334</v>
      </c>
      <c r="AA43" s="29">
        <f t="shared" si="64"/>
        <v>4086990.313333333</v>
      </c>
      <c r="AB43" s="29">
        <f t="shared" si="65"/>
        <v>4353042.7875000006</v>
      </c>
      <c r="AC43" s="29">
        <f t="shared" si="56"/>
        <v>4794144.9766666666</v>
      </c>
      <c r="AD43" s="29">
        <f t="shared" si="66"/>
        <v>5022367.2700000005</v>
      </c>
      <c r="AE43" s="29">
        <f t="shared" si="67"/>
        <v>5090883.6466666665</v>
      </c>
      <c r="AF43" s="29">
        <f t="shared" si="68"/>
        <v>2751319.8350000004</v>
      </c>
      <c r="AG43" s="28">
        <f t="shared" si="69"/>
        <v>61328016.595411278</v>
      </c>
      <c r="AH43" s="29">
        <f t="shared" si="70"/>
        <v>61576597.468619086</v>
      </c>
      <c r="AI43" s="29">
        <f t="shared" si="71"/>
        <v>64609156.353007108</v>
      </c>
      <c r="AJ43" s="29">
        <f t="shared" si="72"/>
        <v>66577852.024218425</v>
      </c>
      <c r="AK43" s="29">
        <f t="shared" si="46"/>
        <v>68673053.105533898</v>
      </c>
      <c r="AL43" s="29">
        <f t="shared" si="76"/>
        <v>68627124.019704148</v>
      </c>
      <c r="AM43" s="215">
        <f t="shared" si="73"/>
        <v>67649824.852059588</v>
      </c>
      <c r="AN43" s="215">
        <f t="shared" si="74"/>
        <v>35927838.088617474</v>
      </c>
      <c r="AO43" s="221">
        <v>65890176</v>
      </c>
      <c r="AP43" s="180"/>
    </row>
    <row r="44" spans="1:44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29">
        <v>21742754.170000002</v>
      </c>
      <c r="J44" s="29">
        <v>601912.53</v>
      </c>
      <c r="K44" s="29">
        <v>10310726.120000001</v>
      </c>
      <c r="L44" s="152">
        <v>185041.37</v>
      </c>
      <c r="M44" s="29">
        <v>462600.49</v>
      </c>
      <c r="N44" s="29">
        <v>468754.98</v>
      </c>
      <c r="O44" s="165">
        <v>728045.47</v>
      </c>
      <c r="P44" s="29">
        <v>26738.28</v>
      </c>
      <c r="Q44" s="29">
        <v>4510270.7700000005</v>
      </c>
      <c r="R44" s="29"/>
      <c r="S44" s="29"/>
      <c r="T44" s="29"/>
      <c r="U44" s="29"/>
      <c r="V44" s="29"/>
      <c r="W44" s="29"/>
      <c r="X44" s="127">
        <f t="shared" si="75"/>
        <v>6381451.3600000003</v>
      </c>
      <c r="Y44" s="89">
        <f t="shared" si="62"/>
        <v>5561402.0616666665</v>
      </c>
      <c r="Z44" s="29">
        <f t="shared" si="63"/>
        <v>7282875.7783333333</v>
      </c>
      <c r="AA44" s="29">
        <f t="shared" si="64"/>
        <v>6959987.2141666664</v>
      </c>
      <c r="AB44" s="29">
        <f t="shared" si="65"/>
        <v>8791578.6158333328</v>
      </c>
      <c r="AC44" s="29">
        <f t="shared" si="56"/>
        <v>8387590.2566666678</v>
      </c>
      <c r="AD44" s="29">
        <f t="shared" si="66"/>
        <v>10340408.867500002</v>
      </c>
      <c r="AE44" s="29">
        <f t="shared" si="67"/>
        <v>1811896.1808333334</v>
      </c>
      <c r="AF44" s="29">
        <f t="shared" si="68"/>
        <v>50159.377500000002</v>
      </c>
      <c r="AG44" s="28">
        <f t="shared" si="69"/>
        <v>93454785.289826274</v>
      </c>
      <c r="AH44" s="29">
        <f t="shared" si="70"/>
        <v>117584528.47661161</v>
      </c>
      <c r="AI44" s="29">
        <f t="shared" si="71"/>
        <v>110026906.76021402</v>
      </c>
      <c r="AJ44" s="29">
        <f t="shared" si="72"/>
        <v>134463282.05755883</v>
      </c>
      <c r="AK44" s="29">
        <f t="shared" si="46"/>
        <v>120146852.86468294</v>
      </c>
      <c r="AL44" s="29">
        <f t="shared" si="76"/>
        <v>141294430.21883404</v>
      </c>
      <c r="AM44" s="215">
        <f t="shared" si="73"/>
        <v>24077246.268189251</v>
      </c>
      <c r="AN44" s="215">
        <f t="shared" si="74"/>
        <v>6850813.9958349429</v>
      </c>
      <c r="AO44" s="221">
        <v>10310726.120000001</v>
      </c>
      <c r="AP44" s="180"/>
    </row>
    <row r="45" spans="1:44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29">
        <v>11139594.390000001</v>
      </c>
      <c r="J45" s="29">
        <v>5924783.4700000007</v>
      </c>
      <c r="K45" s="29">
        <v>11811503.93</v>
      </c>
      <c r="L45" s="152">
        <v>1144191.68</v>
      </c>
      <c r="M45" s="29">
        <v>1038444.96</v>
      </c>
      <c r="N45" s="29">
        <v>1112626.48</v>
      </c>
      <c r="O45" s="29">
        <v>1113532.3400000001</v>
      </c>
      <c r="P45" s="29">
        <v>1095803.2</v>
      </c>
      <c r="Q45" s="29">
        <v>1055928</v>
      </c>
      <c r="R45" s="29"/>
      <c r="S45" s="29"/>
      <c r="T45" s="29"/>
      <c r="U45" s="29"/>
      <c r="V45" s="29"/>
      <c r="W45" s="29"/>
      <c r="X45" s="127">
        <f t="shared" si="75"/>
        <v>6560526.6600000001</v>
      </c>
      <c r="Y45" s="89">
        <f t="shared" si="62"/>
        <v>1249811.5216666667</v>
      </c>
      <c r="Z45" s="29">
        <f t="shared" si="63"/>
        <v>532705.19750000001</v>
      </c>
      <c r="AA45" s="29">
        <f t="shared" si="64"/>
        <v>546844.87416666665</v>
      </c>
      <c r="AB45" s="29">
        <f t="shared" si="65"/>
        <v>606804.39500000002</v>
      </c>
      <c r="AC45" s="29">
        <f t="shared" si="56"/>
        <v>639508.54083333339</v>
      </c>
      <c r="AD45" s="29">
        <f t="shared" si="66"/>
        <v>758504.03083333338</v>
      </c>
      <c r="AE45" s="29">
        <f t="shared" si="67"/>
        <v>928299.53250000009</v>
      </c>
      <c r="AF45" s="29">
        <f t="shared" si="68"/>
        <v>493731.95583333337</v>
      </c>
      <c r="AG45" s="28">
        <f t="shared" si="69"/>
        <v>21002054.178961117</v>
      </c>
      <c r="AH45" s="29">
        <f t="shared" si="70"/>
        <v>8600708.2053254899</v>
      </c>
      <c r="AI45" s="29">
        <f t="shared" si="71"/>
        <v>8644793.1771726403</v>
      </c>
      <c r="AJ45" s="29">
        <f t="shared" si="72"/>
        <v>9280803.1508363355</v>
      </c>
      <c r="AK45" s="29">
        <f t="shared" si="46"/>
        <v>9160549.8373195138</v>
      </c>
      <c r="AL45" s="29">
        <f t="shared" si="76"/>
        <v>10364425.259056108</v>
      </c>
      <c r="AM45" s="215">
        <f t="shared" si="73"/>
        <v>12335638.592917478</v>
      </c>
      <c r="AN45" s="215">
        <f t="shared" si="74"/>
        <v>7043060.4774485454</v>
      </c>
      <c r="AO45" s="221">
        <v>11811503.93</v>
      </c>
      <c r="AP45" s="180"/>
    </row>
    <row r="46" spans="1:44" ht="17.25" x14ac:dyDescent="0.4">
      <c r="A46" s="95" t="s">
        <v>241</v>
      </c>
      <c r="B46" s="96"/>
      <c r="C46" s="97">
        <f t="shared" ref="C46:E46" si="77">SUM(C47:C54)</f>
        <v>84205665.870000005</v>
      </c>
      <c r="D46" s="98">
        <f t="shared" si="77"/>
        <v>95710716.840000004</v>
      </c>
      <c r="E46" s="98">
        <f t="shared" si="77"/>
        <v>98019902.74000001</v>
      </c>
      <c r="F46" s="98">
        <v>109122026.81999999</v>
      </c>
      <c r="G46" s="98">
        <v>123849705.21000001</v>
      </c>
      <c r="H46" s="98">
        <v>134428646.43000001</v>
      </c>
      <c r="I46" s="98">
        <v>146125266.37</v>
      </c>
      <c r="J46" s="98">
        <v>75495581.260000005</v>
      </c>
      <c r="K46" s="98">
        <v>172295932.08000004</v>
      </c>
      <c r="L46" s="154">
        <f>SUM(L47:L54)</f>
        <v>13312294.170000002</v>
      </c>
      <c r="M46" s="154">
        <f t="shared" ref="M46:W46" si="78">SUM(M47:M54)</f>
        <v>18342536.77</v>
      </c>
      <c r="N46" s="154">
        <f t="shared" si="78"/>
        <v>24790429.850000001</v>
      </c>
      <c r="O46" s="154">
        <f>SUM(O47:O54)</f>
        <v>21581165.830000002</v>
      </c>
      <c r="P46" s="154">
        <f t="shared" si="78"/>
        <v>19114498.52</v>
      </c>
      <c r="Q46" s="154">
        <f t="shared" si="78"/>
        <v>26240139.000000004</v>
      </c>
      <c r="R46" s="154">
        <f t="shared" si="78"/>
        <v>0</v>
      </c>
      <c r="S46" s="154">
        <f t="shared" si="78"/>
        <v>0</v>
      </c>
      <c r="T46" s="154">
        <f t="shared" si="78"/>
        <v>0</v>
      </c>
      <c r="U46" s="154">
        <f t="shared" si="78"/>
        <v>0</v>
      </c>
      <c r="V46" s="154">
        <f t="shared" si="78"/>
        <v>0</v>
      </c>
      <c r="W46" s="154">
        <f t="shared" si="78"/>
        <v>0</v>
      </c>
      <c r="X46" s="128">
        <f t="shared" si="61"/>
        <v>123381064.14</v>
      </c>
      <c r="Y46" s="97">
        <f t="shared" si="62"/>
        <v>7017138.8225000007</v>
      </c>
      <c r="Z46" s="98">
        <f t="shared" si="63"/>
        <v>7975893.0700000003</v>
      </c>
      <c r="AA46" s="98">
        <f t="shared" si="64"/>
        <v>8168325.2283333344</v>
      </c>
      <c r="AB46" s="98">
        <f t="shared" si="65"/>
        <v>9093502.2349999994</v>
      </c>
      <c r="AC46" s="98">
        <f t="shared" si="56"/>
        <v>10320808.7675</v>
      </c>
      <c r="AD46" s="98">
        <f t="shared" si="66"/>
        <v>11202387.202500001</v>
      </c>
      <c r="AE46" s="98">
        <f t="shared" si="67"/>
        <v>12177105.530833334</v>
      </c>
      <c r="AF46" s="98">
        <f t="shared" si="68"/>
        <v>6291298.4383333335</v>
      </c>
      <c r="AG46" s="161">
        <f t="shared" si="69"/>
        <v>117917243.66159441</v>
      </c>
      <c r="AH46" s="98">
        <f t="shared" si="70"/>
        <v>128773530.45151715</v>
      </c>
      <c r="AI46" s="98">
        <f t="shared" si="71"/>
        <v>129128909.38299564</v>
      </c>
      <c r="AJ46" s="98">
        <f t="shared" si="72"/>
        <v>139081069.43544015</v>
      </c>
      <c r="AK46" s="98">
        <f t="shared" si="46"/>
        <v>147838968.58191887</v>
      </c>
      <c r="AL46" s="98">
        <f t="shared" si="76"/>
        <v>153072759.2254945</v>
      </c>
      <c r="AM46" s="223">
        <f t="shared" si="73"/>
        <v>161814551.96001247</v>
      </c>
      <c r="AN46" s="223">
        <f t="shared" si="74"/>
        <v>132455874.58827247</v>
      </c>
      <c r="AO46" s="239">
        <v>172295932.08000004</v>
      </c>
      <c r="AP46" s="180"/>
      <c r="AQ46" s="186"/>
    </row>
    <row r="47" spans="1:44" s="99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29">
        <v>7636813.5099999998</v>
      </c>
      <c r="J47" s="29">
        <v>3178442.6999999997</v>
      </c>
      <c r="K47" s="29">
        <v>8109295.0300000003</v>
      </c>
      <c r="L47" s="152">
        <v>1043319.69</v>
      </c>
      <c r="M47" s="29">
        <v>3218113.33</v>
      </c>
      <c r="N47" s="29">
        <v>872640.1</v>
      </c>
      <c r="O47" s="29">
        <v>852865.45000000007</v>
      </c>
      <c r="P47" s="29">
        <v>1124181.06</v>
      </c>
      <c r="Q47" s="29">
        <v>1003681.61</v>
      </c>
      <c r="R47" s="29"/>
      <c r="S47" s="29"/>
      <c r="T47" s="29"/>
      <c r="U47" s="29"/>
      <c r="V47" s="29"/>
      <c r="W47" s="29"/>
      <c r="X47" s="127">
        <f>SUM(L47:W47)</f>
        <v>8114801.2399999993</v>
      </c>
      <c r="Y47" s="89">
        <f t="shared" si="62"/>
        <v>451859.69916666666</v>
      </c>
      <c r="Z47" s="29">
        <f t="shared" si="63"/>
        <v>498448.29916666663</v>
      </c>
      <c r="AA47" s="29">
        <f t="shared" si="64"/>
        <v>472901.41583333333</v>
      </c>
      <c r="AB47" s="29">
        <f t="shared" si="65"/>
        <v>664394.59083333332</v>
      </c>
      <c r="AC47" s="29">
        <f t="shared" si="56"/>
        <v>475833.92583333328</v>
      </c>
      <c r="AD47" s="29">
        <f t="shared" si="66"/>
        <v>445973.65416666673</v>
      </c>
      <c r="AE47" s="29">
        <f t="shared" si="67"/>
        <v>636401.12583333335</v>
      </c>
      <c r="AF47" s="29">
        <f t="shared" si="68"/>
        <v>264870.22499999998</v>
      </c>
      <c r="AG47" s="28">
        <f t="shared" si="69"/>
        <v>7593130.4190028477</v>
      </c>
      <c r="AH47" s="29">
        <f t="shared" si="70"/>
        <v>8047618.8268714687</v>
      </c>
      <c r="AI47" s="29">
        <f t="shared" si="71"/>
        <v>7475858.5591593292</v>
      </c>
      <c r="AJ47" s="29">
        <f t="shared" si="72"/>
        <v>10161619.564414358</v>
      </c>
      <c r="AK47" s="29">
        <f t="shared" si="46"/>
        <v>6816015.9146641474</v>
      </c>
      <c r="AL47" s="29">
        <f t="shared" si="76"/>
        <v>6093916.9974354506</v>
      </c>
      <c r="AM47" s="215">
        <f t="shared" si="73"/>
        <v>8456768.5467468426</v>
      </c>
      <c r="AN47" s="215">
        <f t="shared" si="74"/>
        <v>8711653.6305325292</v>
      </c>
      <c r="AO47" s="240">
        <v>8109295.0300000003</v>
      </c>
      <c r="AP47" s="183"/>
      <c r="AQ47" s="3"/>
    </row>
    <row r="48" spans="1:44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29">
        <v>3718136.26</v>
      </c>
      <c r="J48" s="29">
        <v>1507435.0900000003</v>
      </c>
      <c r="K48" s="29">
        <v>2795944.8100000005</v>
      </c>
      <c r="L48" s="152">
        <v>61072.67</v>
      </c>
      <c r="M48" s="29">
        <v>221065.21</v>
      </c>
      <c r="N48" s="29">
        <v>259608.57</v>
      </c>
      <c r="O48" s="29">
        <v>221812.52000000002</v>
      </c>
      <c r="P48" s="29">
        <v>290413.97000000003</v>
      </c>
      <c r="Q48" s="29">
        <v>335092.8</v>
      </c>
      <c r="R48" s="29"/>
      <c r="S48" s="29"/>
      <c r="T48" s="29"/>
      <c r="U48" s="29"/>
      <c r="V48" s="29"/>
      <c r="W48" s="29"/>
      <c r="X48" s="127">
        <f t="shared" si="75"/>
        <v>1389065.74</v>
      </c>
      <c r="Y48" s="89">
        <f t="shared" si="62"/>
        <v>250250.19916666669</v>
      </c>
      <c r="Z48" s="29">
        <f t="shared" si="63"/>
        <v>166014.625</v>
      </c>
      <c r="AA48" s="29">
        <f t="shared" si="64"/>
        <v>179734.31166666668</v>
      </c>
      <c r="AB48" s="29">
        <f t="shared" si="65"/>
        <v>161657.35333333333</v>
      </c>
      <c r="AC48" s="29">
        <f t="shared" si="56"/>
        <v>179336.19916666669</v>
      </c>
      <c r="AD48" s="29">
        <f t="shared" si="66"/>
        <v>188003.12833333333</v>
      </c>
      <c r="AE48" s="29">
        <f t="shared" si="67"/>
        <v>309844.6883333333</v>
      </c>
      <c r="AF48" s="29">
        <f t="shared" si="68"/>
        <v>125619.59083333336</v>
      </c>
      <c r="AG48" s="28">
        <f t="shared" si="69"/>
        <v>4205248.67156401</v>
      </c>
      <c r="AH48" s="29">
        <f t="shared" si="70"/>
        <v>2680363.0866423715</v>
      </c>
      <c r="AI48" s="29">
        <f t="shared" si="71"/>
        <v>2841328.545993221</v>
      </c>
      <c r="AJ48" s="29">
        <f t="shared" si="72"/>
        <v>2472477.2703267299</v>
      </c>
      <c r="AK48" s="29">
        <f t="shared" si="46"/>
        <v>2568876.0746822525</v>
      </c>
      <c r="AL48" s="29">
        <f t="shared" si="76"/>
        <v>2568930.8070502817</v>
      </c>
      <c r="AM48" s="215">
        <f t="shared" si="73"/>
        <v>4117347.8617637395</v>
      </c>
      <c r="AN48" s="215">
        <f t="shared" ref="AN48:AN54" si="79">$AN$6*X48</f>
        <v>1491233.0245712036</v>
      </c>
      <c r="AO48" s="221">
        <v>2795944.8100000005</v>
      </c>
      <c r="AP48" s="180"/>
    </row>
    <row r="49" spans="1:43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29">
        <v>11800310.84</v>
      </c>
      <c r="J49" s="29">
        <v>3566379.4900000007</v>
      </c>
      <c r="K49" s="29">
        <v>17206190.91</v>
      </c>
      <c r="L49" s="152">
        <v>627768.70000000007</v>
      </c>
      <c r="M49" s="29">
        <v>1472289.43</v>
      </c>
      <c r="N49" s="29">
        <v>5932212.2000000002</v>
      </c>
      <c r="O49" s="29">
        <v>1178261.99</v>
      </c>
      <c r="P49" s="29">
        <v>1562135.81</v>
      </c>
      <c r="Q49" s="29">
        <v>1754070.34</v>
      </c>
      <c r="R49" s="29"/>
      <c r="S49" s="29"/>
      <c r="T49" s="29"/>
      <c r="U49" s="29"/>
      <c r="V49" s="29"/>
      <c r="W49" s="29"/>
      <c r="X49" s="127">
        <f t="shared" si="75"/>
        <v>12526738.470000001</v>
      </c>
      <c r="Y49" s="89">
        <f t="shared" si="62"/>
        <v>955165.34</v>
      </c>
      <c r="Z49" s="29">
        <f t="shared" si="63"/>
        <v>982948.62333333341</v>
      </c>
      <c r="AA49" s="29">
        <f t="shared" si="64"/>
        <v>530732.65916666668</v>
      </c>
      <c r="AB49" s="29">
        <f t="shared" si="65"/>
        <v>409088.27083333331</v>
      </c>
      <c r="AC49" s="29">
        <f t="shared" si="56"/>
        <v>2006453.5158333334</v>
      </c>
      <c r="AD49" s="29">
        <f t="shared" si="66"/>
        <v>1705565.1766666665</v>
      </c>
      <c r="AE49" s="29">
        <f t="shared" si="67"/>
        <v>983359.23666666669</v>
      </c>
      <c r="AF49" s="29">
        <f t="shared" si="68"/>
        <v>297198.29083333339</v>
      </c>
      <c r="AG49" s="28">
        <f t="shared" si="69"/>
        <v>16050767.553970486</v>
      </c>
      <c r="AH49" s="29">
        <f t="shared" si="70"/>
        <v>15870042.811280049</v>
      </c>
      <c r="AI49" s="29">
        <f t="shared" si="71"/>
        <v>8390083.3446750827</v>
      </c>
      <c r="AJ49" s="29">
        <f t="shared" si="72"/>
        <v>6256823.0293061547</v>
      </c>
      <c r="AK49" s="29">
        <f t="shared" si="46"/>
        <v>28741160.210472312</v>
      </c>
      <c r="AL49" s="29">
        <f t="shared" si="76"/>
        <v>23305351.164171617</v>
      </c>
      <c r="AM49" s="215">
        <f t="shared" si="73"/>
        <v>13067295.335007835</v>
      </c>
      <c r="AN49" s="215">
        <f t="shared" si="79"/>
        <v>13448093.606160464</v>
      </c>
      <c r="AO49" s="221">
        <v>17206190.91</v>
      </c>
      <c r="AP49" s="180"/>
    </row>
    <row r="50" spans="1:43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29">
        <v>876194.58</v>
      </c>
      <c r="J50" s="29">
        <v>1762915.3500000003</v>
      </c>
      <c r="K50" s="29">
        <v>3979907.0600000005</v>
      </c>
      <c r="L50" s="152">
        <v>6536</v>
      </c>
      <c r="M50" s="29">
        <v>25039.43</v>
      </c>
      <c r="N50" s="29">
        <v>814018.63</v>
      </c>
      <c r="O50" s="29">
        <v>4480137.33</v>
      </c>
      <c r="P50" s="29">
        <v>381640.4</v>
      </c>
      <c r="Q50" s="29">
        <v>766723.35</v>
      </c>
      <c r="R50" s="29"/>
      <c r="S50" s="29"/>
      <c r="T50" s="29"/>
      <c r="U50" s="29"/>
      <c r="V50" s="29"/>
      <c r="W50" s="29"/>
      <c r="X50" s="127">
        <f t="shared" si="75"/>
        <v>6474095.1400000006</v>
      </c>
      <c r="Y50" s="89">
        <f t="shared" si="62"/>
        <v>313159.08416666667</v>
      </c>
      <c r="Z50" s="29">
        <f t="shared" si="63"/>
        <v>269467.64333333337</v>
      </c>
      <c r="AA50" s="29">
        <f t="shared" si="64"/>
        <v>179239.87749999997</v>
      </c>
      <c r="AB50" s="29">
        <f t="shared" si="65"/>
        <v>320600.25833333336</v>
      </c>
      <c r="AC50" s="29">
        <f t="shared" si="56"/>
        <v>53675.855000000003</v>
      </c>
      <c r="AD50" s="29">
        <f t="shared" si="66"/>
        <v>22247.936666666665</v>
      </c>
      <c r="AE50" s="29">
        <f t="shared" si="67"/>
        <v>73016.214999999997</v>
      </c>
      <c r="AF50" s="29">
        <f t="shared" si="68"/>
        <v>146909.61250000002</v>
      </c>
      <c r="AG50" s="28">
        <f t="shared" si="69"/>
        <v>5262380.7176393624</v>
      </c>
      <c r="AH50" s="29">
        <f t="shared" si="70"/>
        <v>4350647.5663525369</v>
      </c>
      <c r="AI50" s="29">
        <f t="shared" si="71"/>
        <v>2833512.2871006513</v>
      </c>
      <c r="AJ50" s="29">
        <f t="shared" si="72"/>
        <v>4903438.2615157943</v>
      </c>
      <c r="AK50" s="29">
        <f t="shared" si="46"/>
        <v>768872.20950561343</v>
      </c>
      <c r="AL50" s="29">
        <f t="shared" si="76"/>
        <v>304002.44082624739</v>
      </c>
      <c r="AM50" s="215">
        <f t="shared" si="73"/>
        <v>970270.48719617876</v>
      </c>
      <c r="AN50" s="215">
        <f t="shared" si="79"/>
        <v>6950271.8258560831</v>
      </c>
      <c r="AO50" s="221">
        <v>3979907.0600000005</v>
      </c>
      <c r="AP50" s="180"/>
    </row>
    <row r="51" spans="1:43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29">
        <v>118883079.23999999</v>
      </c>
      <c r="J51" s="29">
        <v>62126814.080000006</v>
      </c>
      <c r="K51" s="29">
        <v>130519484.03</v>
      </c>
      <c r="L51" s="152">
        <v>11113755.720000001</v>
      </c>
      <c r="M51" s="29">
        <v>11820577.630000001</v>
      </c>
      <c r="N51" s="29">
        <v>15814970.279999999</v>
      </c>
      <c r="O51" s="29">
        <v>13701991.65</v>
      </c>
      <c r="P51" s="29">
        <v>14876376.290000001</v>
      </c>
      <c r="Q51" s="29">
        <v>18326161.030000001</v>
      </c>
      <c r="R51" s="29"/>
      <c r="S51" s="29"/>
      <c r="T51" s="29"/>
      <c r="U51" s="29"/>
      <c r="V51" s="29"/>
      <c r="W51" s="29"/>
      <c r="X51" s="127">
        <f t="shared" si="75"/>
        <v>85653832.600000009</v>
      </c>
      <c r="Y51" s="89">
        <f t="shared" si="62"/>
        <v>4923948.8600000003</v>
      </c>
      <c r="Z51" s="29">
        <f t="shared" si="63"/>
        <v>5966366.5141666671</v>
      </c>
      <c r="AA51" s="29">
        <f t="shared" si="64"/>
        <v>6704153.6208333336</v>
      </c>
      <c r="AB51" s="29">
        <f t="shared" si="65"/>
        <v>7213506.0141666671</v>
      </c>
      <c r="AC51" s="29">
        <f t="shared" si="56"/>
        <v>7397811.0899999999</v>
      </c>
      <c r="AD51" s="29">
        <f t="shared" si="66"/>
        <v>8802108.5008333325</v>
      </c>
      <c r="AE51" s="29">
        <f t="shared" si="67"/>
        <v>9906923.2699999996</v>
      </c>
      <c r="AF51" s="29">
        <f t="shared" si="68"/>
        <v>5177234.5066666668</v>
      </c>
      <c r="AG51" s="28">
        <f t="shared" si="69"/>
        <v>82742908.782156989</v>
      </c>
      <c r="AH51" s="29">
        <f t="shared" si="70"/>
        <v>96329034.661563426</v>
      </c>
      <c r="AI51" s="29">
        <f t="shared" si="71"/>
        <v>105982563.27887511</v>
      </c>
      <c r="AJ51" s="29">
        <f t="shared" si="72"/>
        <v>110327363.96850727</v>
      </c>
      <c r="AK51" s="29">
        <f t="shared" si="46"/>
        <v>105968900.88240662</v>
      </c>
      <c r="AL51" s="29">
        <f t="shared" si="76"/>
        <v>120274635.29595302</v>
      </c>
      <c r="AM51" s="215">
        <f t="shared" si="73"/>
        <v>131647405.54954897</v>
      </c>
      <c r="AN51" s="215">
        <f t="shared" si="79"/>
        <v>91953764.444736496</v>
      </c>
      <c r="AO51" s="221">
        <v>130519484.03</v>
      </c>
      <c r="AP51" s="180"/>
    </row>
    <row r="52" spans="1:43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9">
        <v>0</v>
      </c>
      <c r="I52" s="29"/>
      <c r="J52" s="29">
        <v>73181.16</v>
      </c>
      <c r="K52" s="29">
        <v>2493152.52</v>
      </c>
      <c r="L52" s="152">
        <v>8700</v>
      </c>
      <c r="M52" s="29">
        <v>4283.5</v>
      </c>
      <c r="N52" s="29">
        <v>6591.9000000000005</v>
      </c>
      <c r="O52" s="29">
        <v>48301</v>
      </c>
      <c r="P52" s="29">
        <v>51742.5</v>
      </c>
      <c r="Q52" s="29">
        <v>3033884</v>
      </c>
      <c r="R52" s="29"/>
      <c r="S52" s="29"/>
      <c r="T52" s="29"/>
      <c r="U52" s="29"/>
      <c r="V52" s="29"/>
      <c r="W52" s="29"/>
      <c r="X52" s="127">
        <f t="shared" si="75"/>
        <v>3153502.9</v>
      </c>
      <c r="Y52" s="89">
        <f t="shared" si="62"/>
        <v>572.26666666666665</v>
      </c>
      <c r="Z52" s="29">
        <f t="shared" si="63"/>
        <v>0</v>
      </c>
      <c r="AA52" s="29">
        <f t="shared" si="64"/>
        <v>0</v>
      </c>
      <c r="AB52" s="29">
        <f t="shared" si="65"/>
        <v>0</v>
      </c>
      <c r="AC52" s="29">
        <f t="shared" si="56"/>
        <v>0</v>
      </c>
      <c r="AD52" s="29">
        <f t="shared" si="66"/>
        <v>0</v>
      </c>
      <c r="AE52" s="29">
        <f t="shared" si="67"/>
        <v>0</v>
      </c>
      <c r="AF52" s="29">
        <f t="shared" si="68"/>
        <v>6098.43</v>
      </c>
      <c r="AG52" s="28">
        <f t="shared" si="69"/>
        <v>9616.4704275724416</v>
      </c>
      <c r="AH52" s="29">
        <f t="shared" si="70"/>
        <v>0</v>
      </c>
      <c r="AI52" s="29">
        <f t="shared" si="71"/>
        <v>0</v>
      </c>
      <c r="AJ52" s="29">
        <f t="shared" si="72"/>
        <v>0</v>
      </c>
      <c r="AK52" s="29">
        <f t="shared" si="46"/>
        <v>0</v>
      </c>
      <c r="AL52" s="29">
        <f t="shared" si="76"/>
        <v>0</v>
      </c>
      <c r="AM52" s="215">
        <f t="shared" si="73"/>
        <v>0</v>
      </c>
      <c r="AN52" s="215">
        <f t="shared" si="79"/>
        <v>3385446.4422692205</v>
      </c>
      <c r="AO52" s="221">
        <v>2493152.52</v>
      </c>
      <c r="AP52" s="180"/>
    </row>
    <row r="53" spans="1:43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29">
        <v>845169.25</v>
      </c>
      <c r="J53" s="29">
        <v>0</v>
      </c>
      <c r="K53" s="29">
        <v>0</v>
      </c>
      <c r="L53" s="152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27">
        <f t="shared" si="61"/>
        <v>0</v>
      </c>
      <c r="Y53" s="89">
        <f t="shared" si="62"/>
        <v>63179.891666666663</v>
      </c>
      <c r="Z53" s="29">
        <f t="shared" si="63"/>
        <v>0</v>
      </c>
      <c r="AA53" s="29">
        <f t="shared" si="64"/>
        <v>60416.666666666664</v>
      </c>
      <c r="AB53" s="29">
        <f t="shared" si="65"/>
        <v>50000</v>
      </c>
      <c r="AC53" s="29">
        <f t="shared" si="56"/>
        <v>144537.62166666667</v>
      </c>
      <c r="AD53" s="29">
        <f t="shared" si="66"/>
        <v>0</v>
      </c>
      <c r="AE53" s="29">
        <f t="shared" si="67"/>
        <v>70430.770833333328</v>
      </c>
      <c r="AF53" s="29">
        <f t="shared" si="68"/>
        <v>0</v>
      </c>
      <c r="AG53" s="28">
        <f t="shared" si="69"/>
        <v>1061686.0901032104</v>
      </c>
      <c r="AH53" s="29">
        <f t="shared" si="70"/>
        <v>0</v>
      </c>
      <c r="AI53" s="29">
        <f t="shared" si="71"/>
        <v>955096.43129311083</v>
      </c>
      <c r="AJ53" s="29">
        <f t="shared" si="72"/>
        <v>764727.74647885794</v>
      </c>
      <c r="AK53" s="29">
        <f t="shared" si="46"/>
        <v>2070408.7625159658</v>
      </c>
      <c r="AL53" s="29">
        <f t="shared" si="76"/>
        <v>0</v>
      </c>
      <c r="AM53" s="215">
        <f t="shared" si="73"/>
        <v>935914.00663620746</v>
      </c>
      <c r="AN53" s="215">
        <f t="shared" si="79"/>
        <v>0</v>
      </c>
      <c r="AO53" s="221">
        <v>0</v>
      </c>
      <c r="AP53" s="180"/>
    </row>
    <row r="54" spans="1:43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29">
        <v>2365562.69</v>
      </c>
      <c r="J54" s="29">
        <v>3280413.3899999997</v>
      </c>
      <c r="K54" s="29">
        <v>7191957.7200000007</v>
      </c>
      <c r="L54" s="152">
        <v>451141.39</v>
      </c>
      <c r="M54" s="29">
        <v>1581168.24</v>
      </c>
      <c r="N54" s="29">
        <v>1090388.17</v>
      </c>
      <c r="O54" s="29">
        <v>1097795.8900000001</v>
      </c>
      <c r="P54" s="29">
        <v>828008.49</v>
      </c>
      <c r="Q54" s="29">
        <v>1020525.87</v>
      </c>
      <c r="R54" s="29"/>
      <c r="S54" s="29"/>
      <c r="T54" s="29"/>
      <c r="U54" s="29"/>
      <c r="V54" s="29"/>
      <c r="W54" s="29"/>
      <c r="X54" s="127">
        <f t="shared" si="61"/>
        <v>6069028.0499999998</v>
      </c>
      <c r="Y54" s="89">
        <f t="shared" si="62"/>
        <v>59003.481666666667</v>
      </c>
      <c r="Z54" s="29">
        <f t="shared" si="63"/>
        <v>92647.364999999991</v>
      </c>
      <c r="AA54" s="29">
        <f t="shared" si="64"/>
        <v>41146.676666666666</v>
      </c>
      <c r="AB54" s="29">
        <f t="shared" si="65"/>
        <v>274255.7475</v>
      </c>
      <c r="AC54" s="29">
        <f t="shared" si="56"/>
        <v>63160.560000000005</v>
      </c>
      <c r="AD54" s="29">
        <f t="shared" si="66"/>
        <v>38488.805833333339</v>
      </c>
      <c r="AE54" s="29">
        <f t="shared" si="67"/>
        <v>197130.22416666665</v>
      </c>
      <c r="AF54" s="29">
        <f t="shared" si="68"/>
        <v>273367.78249999997</v>
      </c>
      <c r="AG54" s="28">
        <f t="shared" si="69"/>
        <v>991504.95672992675</v>
      </c>
      <c r="AH54" s="29">
        <f t="shared" si="70"/>
        <v>1495823.4988073031</v>
      </c>
      <c r="AI54" s="29">
        <f t="shared" si="71"/>
        <v>650466.9358991147</v>
      </c>
      <c r="AJ54" s="29">
        <f t="shared" si="72"/>
        <v>4194619.594890994</v>
      </c>
      <c r="AK54" s="29">
        <f t="shared" si="46"/>
        <v>904734.52767192759</v>
      </c>
      <c r="AL54" s="29">
        <f t="shared" si="76"/>
        <v>525922.52005785296</v>
      </c>
      <c r="AM54" s="215">
        <f t="shared" si="73"/>
        <v>2619550.1731126928</v>
      </c>
      <c r="AN54" s="215">
        <f t="shared" si="79"/>
        <v>6515411.6141464794</v>
      </c>
      <c r="AO54" s="221">
        <v>7191957.7200000007</v>
      </c>
      <c r="AP54" s="180"/>
    </row>
    <row r="55" spans="1:43" ht="17.25" x14ac:dyDescent="0.4">
      <c r="A55" s="95" t="s">
        <v>242</v>
      </c>
      <c r="B55" s="96"/>
      <c r="C55" s="97">
        <f t="shared" ref="C55:E55" si="80">SUM(C56:C64)</f>
        <v>222882216.59999996</v>
      </c>
      <c r="D55" s="98">
        <f t="shared" si="80"/>
        <v>301845864.29000002</v>
      </c>
      <c r="E55" s="98">
        <f t="shared" si="80"/>
        <v>307453893.44999993</v>
      </c>
      <c r="F55" s="98">
        <v>325799347.83999997</v>
      </c>
      <c r="G55" s="98">
        <v>379883748.71000004</v>
      </c>
      <c r="H55" s="98">
        <v>375516448.15999997</v>
      </c>
      <c r="I55" s="98">
        <v>383975540.40999997</v>
      </c>
      <c r="J55" s="98">
        <v>166762085.25999999</v>
      </c>
      <c r="K55" s="98">
        <v>368428288.85000002</v>
      </c>
      <c r="L55" s="154">
        <f>SUM(L56:L64)</f>
        <v>24601167.599999998</v>
      </c>
      <c r="M55" s="154">
        <f t="shared" ref="M55:W55" si="81">SUM(M56:M64)</f>
        <v>37027113.760000005</v>
      </c>
      <c r="N55" s="154">
        <f t="shared" si="81"/>
        <v>48124597.459999993</v>
      </c>
      <c r="O55" s="154">
        <f t="shared" si="81"/>
        <v>38821120.140000001</v>
      </c>
      <c r="P55" s="154">
        <f t="shared" si="81"/>
        <v>39774479.620000005</v>
      </c>
      <c r="Q55" s="154">
        <f t="shared" si="81"/>
        <v>46801493.799999997</v>
      </c>
      <c r="R55" s="154">
        <f t="shared" si="81"/>
        <v>0</v>
      </c>
      <c r="S55" s="154">
        <f t="shared" ref="S55:T55" si="82">SUM(S56:S64)</f>
        <v>0</v>
      </c>
      <c r="T55" s="154">
        <f t="shared" si="82"/>
        <v>0</v>
      </c>
      <c r="U55" s="154">
        <f t="shared" si="81"/>
        <v>0</v>
      </c>
      <c r="V55" s="154">
        <f t="shared" si="81"/>
        <v>0</v>
      </c>
      <c r="W55" s="154">
        <f t="shared" si="81"/>
        <v>0</v>
      </c>
      <c r="X55" s="128">
        <f t="shared" si="61"/>
        <v>235149972.38</v>
      </c>
      <c r="Y55" s="97">
        <f t="shared" si="62"/>
        <v>18573518.049999997</v>
      </c>
      <c r="Z55" s="98">
        <f t="shared" si="63"/>
        <v>25153822.02416667</v>
      </c>
      <c r="AA55" s="98">
        <f t="shared" si="64"/>
        <v>25621157.787499994</v>
      </c>
      <c r="AB55" s="98">
        <f t="shared" si="65"/>
        <v>27149945.653333332</v>
      </c>
      <c r="AC55" s="98">
        <f t="shared" si="56"/>
        <v>31656979.05916667</v>
      </c>
      <c r="AD55" s="98">
        <f t="shared" si="66"/>
        <v>31293037.346666664</v>
      </c>
      <c r="AE55" s="98">
        <f t="shared" si="67"/>
        <v>31997961.700833332</v>
      </c>
      <c r="AF55" s="98">
        <f t="shared" si="68"/>
        <v>13896840.438333333</v>
      </c>
      <c r="AG55" s="161">
        <f t="shared" si="69"/>
        <v>312112687.08726925</v>
      </c>
      <c r="AH55" s="98">
        <f t="shared" si="70"/>
        <v>406117087.82613724</v>
      </c>
      <c r="AI55" s="98">
        <f t="shared" si="71"/>
        <v>405031884.71898937</v>
      </c>
      <c r="AJ55" s="98">
        <f t="shared" si="72"/>
        <v>415246335.12994128</v>
      </c>
      <c r="AK55" s="98">
        <f t="shared" si="46"/>
        <v>453465928.68421775</v>
      </c>
      <c r="AL55" s="98">
        <f t="shared" si="76"/>
        <v>427597393.71727121</v>
      </c>
      <c r="AM55" s="223">
        <f t="shared" si="73"/>
        <v>425202510.00072002</v>
      </c>
      <c r="AN55" s="223">
        <f>$AN$6*X55</f>
        <v>252445506.67563251</v>
      </c>
      <c r="AO55" s="239">
        <v>368428288.85000002</v>
      </c>
      <c r="AP55" s="180"/>
      <c r="AQ55" s="186"/>
    </row>
    <row r="56" spans="1:43" s="99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29">
        <v>116815672.22</v>
      </c>
      <c r="J56" s="29">
        <v>54738753.5</v>
      </c>
      <c r="K56" s="29">
        <v>91141632.600000009</v>
      </c>
      <c r="L56" s="152">
        <v>4741795.78</v>
      </c>
      <c r="M56" s="29">
        <v>4490531.16</v>
      </c>
      <c r="N56" s="29">
        <v>5065790.51</v>
      </c>
      <c r="O56" s="29">
        <v>4731857.55</v>
      </c>
      <c r="P56" s="29">
        <v>5109743.0600000005</v>
      </c>
      <c r="Q56" s="29">
        <v>5277834.97</v>
      </c>
      <c r="R56" s="29"/>
      <c r="S56" s="29"/>
      <c r="T56" s="29"/>
      <c r="U56" s="29"/>
      <c r="V56" s="29"/>
      <c r="W56" s="29"/>
      <c r="X56" s="127">
        <f t="shared" si="61"/>
        <v>29417553.030000001</v>
      </c>
      <c r="Y56" s="89">
        <f t="shared" si="62"/>
        <v>5532007.0958333332</v>
      </c>
      <c r="Z56" s="29">
        <f t="shared" si="63"/>
        <v>5434091.0283333333</v>
      </c>
      <c r="AA56" s="29">
        <f t="shared" si="64"/>
        <v>4770115.5016666669</v>
      </c>
      <c r="AB56" s="29">
        <f t="shared" si="65"/>
        <v>5957205.7883333331</v>
      </c>
      <c r="AC56" s="29">
        <f t="shared" si="56"/>
        <v>8222692.7650000006</v>
      </c>
      <c r="AD56" s="29">
        <f t="shared" si="66"/>
        <v>8300394.6666666679</v>
      </c>
      <c r="AE56" s="29">
        <f t="shared" si="67"/>
        <v>9734639.3516666666</v>
      </c>
      <c r="AF56" s="29">
        <f t="shared" si="68"/>
        <v>4561562.791666667</v>
      </c>
      <c r="AG56" s="28">
        <f t="shared" si="69"/>
        <v>92960827.077473477</v>
      </c>
      <c r="AH56" s="29">
        <f t="shared" si="70"/>
        <v>87735264.29854691</v>
      </c>
      <c r="AI56" s="29">
        <f t="shared" si="71"/>
        <v>75408335.875825346</v>
      </c>
      <c r="AJ56" s="29">
        <f t="shared" si="72"/>
        <v>91112811.156459168</v>
      </c>
      <c r="AK56" s="29">
        <f t="shared" si="46"/>
        <v>117784802.01780432</v>
      </c>
      <c r="AL56" s="29">
        <f t="shared" si="76"/>
        <v>113419067.85758108</v>
      </c>
      <c r="AM56" s="215">
        <f t="shared" si="73"/>
        <v>129358023.64475769</v>
      </c>
      <c r="AN56" s="215">
        <f>$AN$6*X56</f>
        <v>31581245.809439287</v>
      </c>
      <c r="AO56" s="229">
        <v>91141632.600000009</v>
      </c>
      <c r="AP56" s="183"/>
      <c r="AQ56" s="3"/>
    </row>
    <row r="57" spans="1:43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29">
        <v>42490848.270000003</v>
      </c>
      <c r="J57" s="29">
        <v>10980443.290000001</v>
      </c>
      <c r="K57" s="29">
        <v>27767996.059999999</v>
      </c>
      <c r="L57" s="152">
        <v>4007538.56</v>
      </c>
      <c r="M57" s="29">
        <v>3376283.88</v>
      </c>
      <c r="N57" s="29">
        <v>6483205.8300000001</v>
      </c>
      <c r="O57" s="29">
        <v>4531260.82</v>
      </c>
      <c r="P57" s="29">
        <v>6079137.0899999999</v>
      </c>
      <c r="Q57" s="29">
        <v>8051617.6400000006</v>
      </c>
      <c r="R57" s="29"/>
      <c r="S57" s="29"/>
      <c r="T57" s="29"/>
      <c r="U57" s="29"/>
      <c r="V57" s="29"/>
      <c r="W57" s="29"/>
      <c r="X57" s="127">
        <f t="shared" si="61"/>
        <v>32529043.82</v>
      </c>
      <c r="Y57" s="89">
        <f t="shared" si="62"/>
        <v>196898.95333333334</v>
      </c>
      <c r="Z57" s="29">
        <f t="shared" si="63"/>
        <v>2768263.5975000001</v>
      </c>
      <c r="AA57" s="29">
        <f t="shared" si="64"/>
        <v>3461227.2641666667</v>
      </c>
      <c r="AB57" s="29">
        <f t="shared" si="65"/>
        <v>3612597.9966666666</v>
      </c>
      <c r="AC57" s="29">
        <f t="shared" si="56"/>
        <v>3319384.3508333336</v>
      </c>
      <c r="AD57" s="29">
        <f t="shared" si="66"/>
        <v>3184384.9541666671</v>
      </c>
      <c r="AE57" s="29">
        <f t="shared" si="67"/>
        <v>3540904.0225000004</v>
      </c>
      <c r="AF57" s="29">
        <f t="shared" si="68"/>
        <v>915036.94083333341</v>
      </c>
      <c r="AG57" s="28">
        <f t="shared" si="69"/>
        <v>3308724.8869116371</v>
      </c>
      <c r="AH57" s="29">
        <f t="shared" si="70"/>
        <v>44694565.679588869</v>
      </c>
      <c r="AI57" s="29">
        <f t="shared" si="71"/>
        <v>54716785.785931051</v>
      </c>
      <c r="AJ57" s="29">
        <f t="shared" si="72"/>
        <v>55253078.498498738</v>
      </c>
      <c r="AK57" s="29">
        <f t="shared" si="46"/>
        <v>47548052.658380218</v>
      </c>
      <c r="AL57" s="29">
        <f t="shared" si="76"/>
        <v>43512385.579893231</v>
      </c>
      <c r="AM57" s="215">
        <f t="shared" si="73"/>
        <v>47053037.06890291</v>
      </c>
      <c r="AN57" s="215">
        <f t="shared" ref="AN57:AN64" si="83">$AN$6*X57</f>
        <v>34921590.105669022</v>
      </c>
      <c r="AO57" s="221">
        <v>27767996.059999999</v>
      </c>
      <c r="AP57" s="180"/>
    </row>
    <row r="58" spans="1:43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29">
        <v>34317041.490000002</v>
      </c>
      <c r="J58" s="29">
        <v>14286283.280000001</v>
      </c>
      <c r="K58" s="29">
        <v>63793384.219999999</v>
      </c>
      <c r="L58" s="152">
        <v>2072487.85</v>
      </c>
      <c r="M58" s="29">
        <v>2116862.1800000002</v>
      </c>
      <c r="N58" s="29">
        <v>4393543.5999999996</v>
      </c>
      <c r="O58" s="29">
        <v>6389567.5499999998</v>
      </c>
      <c r="P58" s="29">
        <v>3734291.34</v>
      </c>
      <c r="Q58" s="29">
        <v>5754671.3500000006</v>
      </c>
      <c r="R58" s="29"/>
      <c r="S58" s="29"/>
      <c r="T58" s="29"/>
      <c r="U58" s="29"/>
      <c r="V58" s="29"/>
      <c r="W58" s="29"/>
      <c r="X58" s="127">
        <f t="shared" si="61"/>
        <v>24461423.870000001</v>
      </c>
      <c r="Y58" s="89">
        <f t="shared" si="62"/>
        <v>1887258.3475000001</v>
      </c>
      <c r="Z58" s="29">
        <f t="shared" si="63"/>
        <v>3866779.3025000002</v>
      </c>
      <c r="AA58" s="29">
        <f t="shared" si="64"/>
        <v>4275655.4091666667</v>
      </c>
      <c r="AB58" s="29">
        <f t="shared" si="65"/>
        <v>4383269.7441666666</v>
      </c>
      <c r="AC58" s="29">
        <f t="shared" si="56"/>
        <v>5506925.4591666674</v>
      </c>
      <c r="AD58" s="29">
        <f t="shared" si="66"/>
        <v>4385660.3158333329</v>
      </c>
      <c r="AE58" s="29">
        <f t="shared" si="67"/>
        <v>2859753.4575</v>
      </c>
      <c r="AF58" s="29">
        <f t="shared" si="68"/>
        <v>1190523.6066666667</v>
      </c>
      <c r="AG58" s="28">
        <f t="shared" si="69"/>
        <v>31713823.545997765</v>
      </c>
      <c r="AH58" s="29">
        <f t="shared" si="70"/>
        <v>62430478.679897852</v>
      </c>
      <c r="AI58" s="29">
        <f t="shared" si="71"/>
        <v>67591667.134910375</v>
      </c>
      <c r="AJ58" s="29">
        <f t="shared" si="72"/>
        <v>67040159.873310708</v>
      </c>
      <c r="AK58" s="29">
        <f t="shared" si="46"/>
        <v>78883176.53015849</v>
      </c>
      <c r="AL58" s="29">
        <f t="shared" si="76"/>
        <v>59926970.335442834</v>
      </c>
      <c r="AM58" s="215">
        <f t="shared" si="73"/>
        <v>38001618.961890616</v>
      </c>
      <c r="AN58" s="215">
        <f t="shared" si="83"/>
        <v>26260587.999944724</v>
      </c>
      <c r="AO58" s="221">
        <v>63793384.219999999</v>
      </c>
      <c r="AP58" s="180"/>
    </row>
    <row r="59" spans="1:43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29">
        <v>11316212.16</v>
      </c>
      <c r="J59" s="29">
        <v>4672386.9400000004</v>
      </c>
      <c r="K59" s="29">
        <v>10402796.41</v>
      </c>
      <c r="L59" s="152">
        <v>3018388.93</v>
      </c>
      <c r="M59" s="29">
        <v>634790.65</v>
      </c>
      <c r="N59" s="29">
        <v>368741.49</v>
      </c>
      <c r="O59" s="29">
        <v>104528.77</v>
      </c>
      <c r="P59" s="29">
        <v>102327.88</v>
      </c>
      <c r="Q59" s="29">
        <v>304109.60000000003</v>
      </c>
      <c r="R59" s="29"/>
      <c r="S59" s="29"/>
      <c r="T59" s="29"/>
      <c r="U59" s="29"/>
      <c r="V59" s="29"/>
      <c r="W59" s="29"/>
      <c r="X59" s="127">
        <f t="shared" si="61"/>
        <v>4532887.32</v>
      </c>
      <c r="Y59" s="89">
        <f t="shared" si="62"/>
        <v>828794.40666666673</v>
      </c>
      <c r="Z59" s="29">
        <f t="shared" si="63"/>
        <v>826153.27083333337</v>
      </c>
      <c r="AA59" s="29">
        <f t="shared" si="64"/>
        <v>599015.34</v>
      </c>
      <c r="AB59" s="29">
        <f t="shared" si="65"/>
        <v>716256.23749999993</v>
      </c>
      <c r="AC59" s="29">
        <f t="shared" si="56"/>
        <v>767147.4916666667</v>
      </c>
      <c r="AD59" s="29">
        <f t="shared" si="66"/>
        <v>823502.06416666694</v>
      </c>
      <c r="AE59" s="29">
        <f t="shared" si="67"/>
        <v>943017.68</v>
      </c>
      <c r="AF59" s="29">
        <f t="shared" si="68"/>
        <v>389365.57833333337</v>
      </c>
      <c r="AG59" s="28">
        <f t="shared" si="69"/>
        <v>13927208.007189158</v>
      </c>
      <c r="AH59" s="29">
        <f t="shared" si="70"/>
        <v>13338528.042637957</v>
      </c>
      <c r="AI59" s="29">
        <f t="shared" si="71"/>
        <v>9469529.6031530388</v>
      </c>
      <c r="AJ59" s="29">
        <f t="shared" si="72"/>
        <v>10954820.368096013</v>
      </c>
      <c r="AK59" s="29">
        <f t="shared" si="46"/>
        <v>10988895.97444585</v>
      </c>
      <c r="AL59" s="29">
        <f t="shared" si="76"/>
        <v>11252577.768580476</v>
      </c>
      <c r="AM59" s="215">
        <f t="shared" si="73"/>
        <v>12531219.590171995</v>
      </c>
      <c r="AN59" s="215">
        <f t="shared" si="83"/>
        <v>4866286.0753041524</v>
      </c>
      <c r="AO59" s="221">
        <v>10402796.41</v>
      </c>
      <c r="AP59" s="180"/>
    </row>
    <row r="60" spans="1:43" ht="15" customHeight="1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29">
        <v>142079642.65000001</v>
      </c>
      <c r="J60" s="29">
        <v>70232081.420000002</v>
      </c>
      <c r="K60" s="29">
        <v>148948140.15000001</v>
      </c>
      <c r="L60" s="152">
        <v>9423183.1099999994</v>
      </c>
      <c r="M60" s="29">
        <v>24484812.190000001</v>
      </c>
      <c r="N60" s="29">
        <v>29772367.289999999</v>
      </c>
      <c r="O60" s="29">
        <v>20115973.68</v>
      </c>
      <c r="P60" s="29">
        <v>17850039.260000002</v>
      </c>
      <c r="Q60" s="29">
        <v>17511597.91</v>
      </c>
      <c r="R60" s="29"/>
      <c r="S60" s="29"/>
      <c r="T60" s="29"/>
      <c r="U60" s="29"/>
      <c r="V60" s="29"/>
      <c r="W60" s="29"/>
      <c r="X60" s="127">
        <f t="shared" si="61"/>
        <v>119157973.44</v>
      </c>
      <c r="Y60" s="89">
        <f t="shared" si="62"/>
        <v>7746154.2199999997</v>
      </c>
      <c r="Z60" s="29">
        <f t="shared" si="63"/>
        <v>9437411.6600000001</v>
      </c>
      <c r="AA60" s="29">
        <f t="shared" si="64"/>
        <v>9752997.3241666667</v>
      </c>
      <c r="AB60" s="29">
        <f t="shared" si="65"/>
        <v>9774038.5016666669</v>
      </c>
      <c r="AC60" s="29">
        <f t="shared" si="56"/>
        <v>10363164.761666665</v>
      </c>
      <c r="AD60" s="29">
        <f t="shared" si="66"/>
        <v>11571111.004166668</v>
      </c>
      <c r="AE60" s="29">
        <f t="shared" si="67"/>
        <v>11839970.220833333</v>
      </c>
      <c r="AF60" s="29">
        <f t="shared" si="68"/>
        <v>5852673.4516666671</v>
      </c>
      <c r="AG60" s="28">
        <f t="shared" si="69"/>
        <v>130167747.52570854</v>
      </c>
      <c r="AH60" s="29">
        <f t="shared" si="70"/>
        <v>152370249.59043401</v>
      </c>
      <c r="AI60" s="29">
        <f t="shared" si="71"/>
        <v>154180186.57196429</v>
      </c>
      <c r="AJ60" s="29">
        <f t="shared" si="72"/>
        <v>149489568.74754286</v>
      </c>
      <c r="AK60" s="29">
        <f t="shared" si="46"/>
        <v>148445691.04252484</v>
      </c>
      <c r="AL60" s="29">
        <f t="shared" si="76"/>
        <v>158111111.20288685</v>
      </c>
      <c r="AM60" s="215">
        <f t="shared" si="73"/>
        <v>157334554.72262165</v>
      </c>
      <c r="AN60" s="215">
        <f t="shared" si="83"/>
        <v>127922171.00877196</v>
      </c>
      <c r="AO60" s="221">
        <v>148948140.15000001</v>
      </c>
      <c r="AP60" s="180"/>
    </row>
    <row r="61" spans="1:43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29">
        <v>11033952.529999999</v>
      </c>
      <c r="J61" s="29">
        <v>5858920.669999999</v>
      </c>
      <c r="K61" s="29">
        <v>12451407.359999998</v>
      </c>
      <c r="L61" s="152"/>
      <c r="M61" s="29">
        <v>116025</v>
      </c>
      <c r="N61" s="29">
        <v>211810</v>
      </c>
      <c r="O61" s="29">
        <v>197886.80000000002</v>
      </c>
      <c r="P61" s="29">
        <v>3619708</v>
      </c>
      <c r="Q61" s="29">
        <v>5562158</v>
      </c>
      <c r="R61" s="29"/>
      <c r="S61" s="29"/>
      <c r="T61" s="29"/>
      <c r="U61" s="29"/>
      <c r="V61" s="29"/>
      <c r="W61" s="29"/>
      <c r="X61" s="127">
        <f t="shared" si="61"/>
        <v>9707587.8000000007</v>
      </c>
      <c r="Y61" s="89">
        <f t="shared" si="62"/>
        <v>1098416.92</v>
      </c>
      <c r="Z61" s="29">
        <f t="shared" si="63"/>
        <v>1103523.1458333333</v>
      </c>
      <c r="AA61" s="29">
        <f t="shared" si="64"/>
        <v>956693.89083333325</v>
      </c>
      <c r="AB61" s="29">
        <f t="shared" si="65"/>
        <v>1100240.3116666668</v>
      </c>
      <c r="AC61" s="29">
        <f t="shared" si="56"/>
        <v>1802551.2875000003</v>
      </c>
      <c r="AD61" s="29">
        <f t="shared" si="66"/>
        <v>889875.08000000007</v>
      </c>
      <c r="AE61" s="29">
        <f t="shared" si="67"/>
        <v>919496.04416666657</v>
      </c>
      <c r="AF61" s="29">
        <f t="shared" si="68"/>
        <v>488243.3891666666</v>
      </c>
      <c r="AG61" s="28">
        <f t="shared" si="69"/>
        <v>18457992.477269113</v>
      </c>
      <c r="AH61" s="29">
        <f t="shared" si="70"/>
        <v>17816759.850809127</v>
      </c>
      <c r="AI61" s="29">
        <f t="shared" si="71"/>
        <v>15123888.347169727</v>
      </c>
      <c r="AJ61" s="29">
        <f t="shared" si="72"/>
        <v>16827685.882520925</v>
      </c>
      <c r="AK61" s="29">
        <f t="shared" si="46"/>
        <v>25820391.518072948</v>
      </c>
      <c r="AL61" s="29">
        <f t="shared" si="76"/>
        <v>12159518.448997092</v>
      </c>
      <c r="AM61" s="215">
        <f t="shared" si="73"/>
        <v>12218654.099620895</v>
      </c>
      <c r="AN61" s="215">
        <f t="shared" si="83"/>
        <v>10421591.361316361</v>
      </c>
      <c r="AO61" s="221">
        <v>12451407.359999998</v>
      </c>
      <c r="AP61" s="180"/>
    </row>
    <row r="62" spans="1:43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29">
        <v>2049526.51</v>
      </c>
      <c r="J62" s="29">
        <v>444560.76</v>
      </c>
      <c r="K62" s="29">
        <v>986341.82000000007</v>
      </c>
      <c r="L62" s="152">
        <v>7388.6100000000006</v>
      </c>
      <c r="M62" s="29">
        <v>26308.61</v>
      </c>
      <c r="N62" s="29">
        <v>116122.44</v>
      </c>
      <c r="O62" s="29">
        <v>96659.35</v>
      </c>
      <c r="P62" s="29">
        <v>173486.57</v>
      </c>
      <c r="Q62" s="29">
        <v>80962.490000000005</v>
      </c>
      <c r="R62" s="29"/>
      <c r="S62" s="29"/>
      <c r="T62" s="29"/>
      <c r="U62" s="29"/>
      <c r="V62" s="29"/>
      <c r="W62" s="29"/>
      <c r="X62" s="127">
        <f t="shared" si="61"/>
        <v>500928.07</v>
      </c>
      <c r="Y62" s="89">
        <f t="shared" si="62"/>
        <v>266897.52916666667</v>
      </c>
      <c r="Z62" s="29">
        <f t="shared" si="63"/>
        <v>366613.02416666667</v>
      </c>
      <c r="AA62" s="29">
        <f t="shared" si="64"/>
        <v>330504.51750000002</v>
      </c>
      <c r="AB62" s="29">
        <f t="shared" si="65"/>
        <v>287567.27333333332</v>
      </c>
      <c r="AC62" s="29">
        <f t="shared" si="56"/>
        <v>188262.8533333333</v>
      </c>
      <c r="AD62" s="29">
        <f t="shared" si="66"/>
        <v>245648.47083333335</v>
      </c>
      <c r="AE62" s="29">
        <f t="shared" si="67"/>
        <v>170793.87583333332</v>
      </c>
      <c r="AF62" s="29">
        <f t="shared" si="68"/>
        <v>37046.730000000003</v>
      </c>
      <c r="AG62" s="28">
        <f t="shared" si="69"/>
        <v>4484993.3534891717</v>
      </c>
      <c r="AH62" s="29">
        <f t="shared" si="70"/>
        <v>5919093.0742316283</v>
      </c>
      <c r="AI62" s="29">
        <f t="shared" si="71"/>
        <v>5224778.2376358872</v>
      </c>
      <c r="AJ62" s="29">
        <f t="shared" si="72"/>
        <v>4398213.4579453953</v>
      </c>
      <c r="AK62" s="29">
        <f t="shared" si="46"/>
        <v>2696744.6724459482</v>
      </c>
      <c r="AL62" s="29">
        <f t="shared" si="76"/>
        <v>3356613.9564958271</v>
      </c>
      <c r="AM62" s="215">
        <f t="shared" si="73"/>
        <v>2269581.5869794399</v>
      </c>
      <c r="AN62" s="215">
        <f t="shared" si="83"/>
        <v>537771.87026347336</v>
      </c>
      <c r="AO62" s="221">
        <v>986341.82000000007</v>
      </c>
      <c r="AP62" s="180"/>
    </row>
    <row r="63" spans="1:43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29">
        <v>9330115.5600000005</v>
      </c>
      <c r="J63" s="29">
        <v>1905492.4000000001</v>
      </c>
      <c r="K63" s="29">
        <v>4514546.2300000004</v>
      </c>
      <c r="L63" s="152">
        <v>624738.76</v>
      </c>
      <c r="M63" s="29">
        <v>1144347.0900000001</v>
      </c>
      <c r="N63" s="29">
        <v>1017105.3</v>
      </c>
      <c r="O63" s="29">
        <v>1947124.62</v>
      </c>
      <c r="P63" s="29">
        <v>2388505.42</v>
      </c>
      <c r="Q63" s="29">
        <v>4257581.84</v>
      </c>
      <c r="R63" s="29"/>
      <c r="S63" s="29"/>
      <c r="T63" s="29"/>
      <c r="U63" s="29"/>
      <c r="V63" s="29"/>
      <c r="W63" s="29"/>
      <c r="X63" s="127">
        <f t="shared" si="61"/>
        <v>11379403.030000001</v>
      </c>
      <c r="Y63" s="89">
        <f t="shared" si="62"/>
        <v>691688.16</v>
      </c>
      <c r="Z63" s="29">
        <f t="shared" si="63"/>
        <v>936997.8783333333</v>
      </c>
      <c r="AA63" s="29">
        <f t="shared" si="64"/>
        <v>856690.18333333323</v>
      </c>
      <c r="AB63" s="29">
        <f t="shared" si="65"/>
        <v>1002110.2633333333</v>
      </c>
      <c r="AC63" s="29">
        <f t="shared" si="56"/>
        <v>835943.5458333334</v>
      </c>
      <c r="AD63" s="29">
        <f t="shared" si="66"/>
        <v>961756.04083333339</v>
      </c>
      <c r="AE63" s="29">
        <f t="shared" si="67"/>
        <v>777509.63</v>
      </c>
      <c r="AF63" s="29">
        <f t="shared" si="68"/>
        <v>158791.03333333335</v>
      </c>
      <c r="AG63" s="28">
        <f t="shared" si="69"/>
        <v>11623250.353696404</v>
      </c>
      <c r="AH63" s="29">
        <f t="shared" si="70"/>
        <v>15128152.265783129</v>
      </c>
      <c r="AI63" s="29">
        <f t="shared" si="71"/>
        <v>13542980.471594607</v>
      </c>
      <c r="AJ63" s="29">
        <f t="shared" si="72"/>
        <v>15326830.468044698</v>
      </c>
      <c r="AK63" s="29">
        <f t="shared" si="46"/>
        <v>11974355.342953216</v>
      </c>
      <c r="AL63" s="29">
        <f t="shared" si="76"/>
        <v>13141721.332332753</v>
      </c>
      <c r="AM63" s="215">
        <f t="shared" si="73"/>
        <v>10331878.302645799</v>
      </c>
      <c r="AN63" s="215">
        <f t="shared" si="83"/>
        <v>12216370.406084323</v>
      </c>
      <c r="AO63" s="221">
        <v>4514546.2300000004</v>
      </c>
      <c r="AP63" s="180"/>
    </row>
    <row r="64" spans="1:43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29">
        <v>14542529.02</v>
      </c>
      <c r="J64" s="29">
        <v>3643163</v>
      </c>
      <c r="K64" s="29">
        <v>8422044</v>
      </c>
      <c r="L64" s="152">
        <v>705646</v>
      </c>
      <c r="M64" s="29">
        <v>637153</v>
      </c>
      <c r="N64" s="29">
        <v>695911</v>
      </c>
      <c r="O64" s="29">
        <v>706261</v>
      </c>
      <c r="P64" s="29">
        <v>717241</v>
      </c>
      <c r="Q64" s="29">
        <v>960</v>
      </c>
      <c r="R64" s="29"/>
      <c r="S64" s="29"/>
      <c r="T64" s="29"/>
      <c r="U64" s="29"/>
      <c r="V64" s="29"/>
      <c r="W64" s="29"/>
      <c r="X64" s="127">
        <f t="shared" si="61"/>
        <v>3463172</v>
      </c>
      <c r="Y64" s="89">
        <f t="shared" si="62"/>
        <v>325402.41749999998</v>
      </c>
      <c r="Z64" s="29">
        <f t="shared" si="63"/>
        <v>413989.1166666667</v>
      </c>
      <c r="AA64" s="29">
        <f t="shared" si="64"/>
        <v>618258.35666666669</v>
      </c>
      <c r="AB64" s="29">
        <f t="shared" si="65"/>
        <v>316659.53666666668</v>
      </c>
      <c r="AC64" s="29">
        <f t="shared" si="56"/>
        <v>650906.54416666657</v>
      </c>
      <c r="AD64" s="29">
        <f t="shared" si="66"/>
        <v>930704.75</v>
      </c>
      <c r="AE64" s="29">
        <f t="shared" si="67"/>
        <v>1211877.4183333332</v>
      </c>
      <c r="AF64" s="29">
        <f t="shared" si="68"/>
        <v>303596.91666666669</v>
      </c>
      <c r="AG64" s="28">
        <f t="shared" si="69"/>
        <v>5468119.8595340131</v>
      </c>
      <c r="AH64" s="29">
        <f t="shared" si="70"/>
        <v>6683996.3442077199</v>
      </c>
      <c r="AI64" s="29">
        <f t="shared" si="71"/>
        <v>9773732.6908051316</v>
      </c>
      <c r="AJ64" s="29">
        <f t="shared" si="72"/>
        <v>4843166.677522786</v>
      </c>
      <c r="AK64" s="29">
        <f t="shared" si="46"/>
        <v>9323818.9274318609</v>
      </c>
      <c r="AL64" s="29">
        <f t="shared" si="76"/>
        <v>12717427.235061156</v>
      </c>
      <c r="AM64" s="215">
        <f t="shared" si="73"/>
        <v>16103942.023129119</v>
      </c>
      <c r="AN64" s="215">
        <f t="shared" si="83"/>
        <v>3717892.0388392163</v>
      </c>
      <c r="AO64" s="221">
        <v>8422044</v>
      </c>
      <c r="AP64" s="180"/>
    </row>
    <row r="65" spans="1:43" ht="17.25" x14ac:dyDescent="0.4">
      <c r="A65" s="95" t="s">
        <v>243</v>
      </c>
      <c r="B65" s="96"/>
      <c r="C65" s="97">
        <f t="shared" ref="C65:E65" si="84">SUM(C66:C73)</f>
        <v>148044723.47000003</v>
      </c>
      <c r="D65" s="98">
        <f t="shared" si="84"/>
        <v>149493282.65000004</v>
      </c>
      <c r="E65" s="98">
        <f t="shared" si="84"/>
        <v>157916956.09</v>
      </c>
      <c r="F65" s="98">
        <v>176997503.66999999</v>
      </c>
      <c r="G65" s="98">
        <v>192149375.5</v>
      </c>
      <c r="H65" s="98">
        <v>217110820.59999996</v>
      </c>
      <c r="I65" s="98">
        <v>407925287.14999998</v>
      </c>
      <c r="J65" s="98">
        <v>187222000.99000001</v>
      </c>
      <c r="K65" s="98">
        <v>450705998.60000002</v>
      </c>
      <c r="L65" s="154">
        <f>SUM(L66:L74)</f>
        <v>31572833.479999997</v>
      </c>
      <c r="M65" s="154">
        <f t="shared" ref="M65:W65" si="85">SUM(M66:M74)</f>
        <v>39104164.880000003</v>
      </c>
      <c r="N65" s="154">
        <f t="shared" si="85"/>
        <v>47797004.470000006</v>
      </c>
      <c r="O65" s="154">
        <f t="shared" si="85"/>
        <v>43409198.869999997</v>
      </c>
      <c r="P65" s="154">
        <f t="shared" si="85"/>
        <v>52009034.330000006</v>
      </c>
      <c r="Q65" s="154">
        <f t="shared" si="85"/>
        <v>43851456.879999995</v>
      </c>
      <c r="R65" s="154">
        <f t="shared" si="85"/>
        <v>0</v>
      </c>
      <c r="S65" s="154">
        <f t="shared" si="85"/>
        <v>0</v>
      </c>
      <c r="T65" s="154">
        <f t="shared" si="85"/>
        <v>0</v>
      </c>
      <c r="U65" s="154">
        <f t="shared" si="85"/>
        <v>0</v>
      </c>
      <c r="V65" s="154">
        <f t="shared" si="85"/>
        <v>0</v>
      </c>
      <c r="W65" s="154">
        <f t="shared" si="85"/>
        <v>0</v>
      </c>
      <c r="X65" s="128">
        <f t="shared" si="61"/>
        <v>257743692.91000003</v>
      </c>
      <c r="Y65" s="97">
        <f t="shared" si="62"/>
        <v>12337060.289166668</v>
      </c>
      <c r="Z65" s="98">
        <f t="shared" si="63"/>
        <v>12457773.554166669</v>
      </c>
      <c r="AA65" s="98">
        <f t="shared" si="64"/>
        <v>13159746.340833334</v>
      </c>
      <c r="AB65" s="98">
        <f t="shared" si="65"/>
        <v>14749791.972499998</v>
      </c>
      <c r="AC65" s="98">
        <f t="shared" si="56"/>
        <v>16012447.958333334</v>
      </c>
      <c r="AD65" s="98">
        <f t="shared" si="66"/>
        <v>18092568.383333329</v>
      </c>
      <c r="AE65" s="98">
        <f t="shared" si="67"/>
        <v>33993773.929166667</v>
      </c>
      <c r="AF65" s="98">
        <f t="shared" si="68"/>
        <v>15601833.415833334</v>
      </c>
      <c r="AG65" s="161">
        <f t="shared" si="69"/>
        <v>207314146.26156151</v>
      </c>
      <c r="AH65" s="98">
        <f t="shared" si="70"/>
        <v>201135028.77434975</v>
      </c>
      <c r="AI65" s="98">
        <f t="shared" si="71"/>
        <v>208035753.38238606</v>
      </c>
      <c r="AJ65" s="98">
        <f t="shared" si="72"/>
        <v>225591503.52323747</v>
      </c>
      <c r="AK65" s="98">
        <f t="shared" si="46"/>
        <v>229368050.89210778</v>
      </c>
      <c r="AL65" s="98">
        <f t="shared" si="76"/>
        <v>247222249.49470782</v>
      </c>
      <c r="AM65" s="223">
        <f t="shared" si="73"/>
        <v>451723710.84819037</v>
      </c>
      <c r="AN65" s="223">
        <f>$AN$6*X65</f>
        <v>276701019.73887199</v>
      </c>
      <c r="AO65" s="224">
        <v>450705998.60000002</v>
      </c>
      <c r="AP65" s="180"/>
      <c r="AQ65" s="186"/>
    </row>
    <row r="66" spans="1:43" s="99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29">
        <v>1211820</v>
      </c>
      <c r="J66" s="29">
        <v>0</v>
      </c>
      <c r="K66" s="29">
        <v>0</v>
      </c>
      <c r="L66" s="152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127">
        <f t="shared" si="61"/>
        <v>0</v>
      </c>
      <c r="Y66" s="89">
        <f t="shared" si="62"/>
        <v>110015.5</v>
      </c>
      <c r="Z66" s="29">
        <f t="shared" si="63"/>
        <v>113191.75</v>
      </c>
      <c r="AA66" s="29">
        <f t="shared" si="64"/>
        <v>117100.75</v>
      </c>
      <c r="AB66" s="29">
        <f t="shared" si="65"/>
        <v>134506.35333333333</v>
      </c>
      <c r="AC66" s="29">
        <f t="shared" si="56"/>
        <v>137562.66666666666</v>
      </c>
      <c r="AD66" s="29">
        <f t="shared" si="66"/>
        <v>132823.41666666666</v>
      </c>
      <c r="AE66" s="29">
        <f t="shared" si="67"/>
        <v>100985</v>
      </c>
      <c r="AF66" s="29">
        <f t="shared" si="68"/>
        <v>0</v>
      </c>
      <c r="AG66" s="28">
        <f t="shared" si="69"/>
        <v>1848719.9481440983</v>
      </c>
      <c r="AH66" s="29">
        <f t="shared" si="70"/>
        <v>1827519.644202742</v>
      </c>
      <c r="AI66" s="29">
        <f t="shared" si="71"/>
        <v>1851186.3463737394</v>
      </c>
      <c r="AJ66" s="29">
        <f t="shared" si="72"/>
        <v>2057214.8094337804</v>
      </c>
      <c r="AK66" s="29">
        <f t="shared" si="46"/>
        <v>1970497.004015757</v>
      </c>
      <c r="AL66" s="29">
        <f t="shared" si="76"/>
        <v>1814938.7725490199</v>
      </c>
      <c r="AM66" s="215">
        <f t="shared" si="73"/>
        <v>1341931.5853267128</v>
      </c>
      <c r="AN66" s="215">
        <f>$AN$6*X66</f>
        <v>0</v>
      </c>
      <c r="AO66" s="228">
        <v>0</v>
      </c>
      <c r="AP66" s="183"/>
      <c r="AQ66" s="3"/>
    </row>
    <row r="67" spans="1:43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29">
        <v>167270551.06999999</v>
      </c>
      <c r="J67" s="29">
        <v>38986069.579999998</v>
      </c>
      <c r="K67" s="29">
        <v>159011183.81999999</v>
      </c>
      <c r="L67" s="152">
        <v>10775932.77</v>
      </c>
      <c r="M67" s="29">
        <v>13484198.279999999</v>
      </c>
      <c r="N67" s="29">
        <v>23641106.539999999</v>
      </c>
      <c r="O67" s="29">
        <v>15274129.300000001</v>
      </c>
      <c r="P67" s="29">
        <v>17659515.510000002</v>
      </c>
      <c r="Q67" s="29">
        <v>9835667.9199999999</v>
      </c>
      <c r="R67" s="29"/>
      <c r="S67" s="29"/>
      <c r="T67" s="29"/>
      <c r="U67" s="29"/>
      <c r="V67" s="29"/>
      <c r="W67" s="29"/>
      <c r="X67" s="127">
        <f t="shared" si="61"/>
        <v>90670550.320000008</v>
      </c>
      <c r="Y67" s="89">
        <f t="shared" si="62"/>
        <v>4582805.8083333336</v>
      </c>
      <c r="Z67" s="29">
        <f t="shared" si="63"/>
        <v>5019937.0766666671</v>
      </c>
      <c r="AA67" s="29">
        <f t="shared" si="64"/>
        <v>4917523.6000000006</v>
      </c>
      <c r="AB67" s="29">
        <f t="shared" si="65"/>
        <v>5105857.9491666667</v>
      </c>
      <c r="AC67" s="29">
        <f t="shared" si="56"/>
        <v>6374489.8691666676</v>
      </c>
      <c r="AD67" s="29">
        <f t="shared" si="66"/>
        <v>7011351.524166666</v>
      </c>
      <c r="AE67" s="29">
        <f t="shared" si="67"/>
        <v>13939212.589166665</v>
      </c>
      <c r="AF67" s="29">
        <f t="shared" si="68"/>
        <v>3248839.1316666664</v>
      </c>
      <c r="AG67" s="28">
        <f t="shared" si="69"/>
        <v>77010280.518076748</v>
      </c>
      <c r="AH67" s="29">
        <f t="shared" si="70"/>
        <v>81048606.63670294</v>
      </c>
      <c r="AI67" s="29">
        <f t="shared" si="71"/>
        <v>77738635.715745956</v>
      </c>
      <c r="AJ67" s="29">
        <f t="shared" si="72"/>
        <v>78091824.866147771</v>
      </c>
      <c r="AK67" s="29">
        <f t="shared" si="46"/>
        <v>91310480.479115307</v>
      </c>
      <c r="AL67" s="29">
        <f t="shared" si="76"/>
        <v>95805197.972853035</v>
      </c>
      <c r="AM67" s="215">
        <f t="shared" si="73"/>
        <v>185230179.21460116</v>
      </c>
      <c r="AN67" s="215">
        <f t="shared" ref="AN67:AN73" si="86">$AN$6*X67</f>
        <v>97339467.168219939</v>
      </c>
      <c r="AO67" s="221">
        <v>159011183.81999999</v>
      </c>
      <c r="AP67" s="180"/>
    </row>
    <row r="68" spans="1:43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29">
        <v>2072189.57</v>
      </c>
      <c r="J68" s="29">
        <v>3927183.32</v>
      </c>
      <c r="K68" s="29">
        <v>5487015.6399999997</v>
      </c>
      <c r="L68" s="152">
        <v>90680.36</v>
      </c>
      <c r="M68" s="29"/>
      <c r="N68" s="29">
        <v>49707.3</v>
      </c>
      <c r="O68" s="29">
        <v>53120.08</v>
      </c>
      <c r="P68" s="29">
        <v>3189585.8000000003</v>
      </c>
      <c r="Q68" s="29">
        <v>861234.85</v>
      </c>
      <c r="R68" s="29"/>
      <c r="S68" s="29"/>
      <c r="T68" s="29"/>
      <c r="U68" s="29"/>
      <c r="V68" s="29"/>
      <c r="W68" s="29"/>
      <c r="X68" s="127">
        <f t="shared" si="61"/>
        <v>4244328.3899999997</v>
      </c>
      <c r="Y68" s="89">
        <f t="shared" si="62"/>
        <v>388579.27416666667</v>
      </c>
      <c r="Z68" s="29">
        <f t="shared" si="63"/>
        <v>951052.41999999993</v>
      </c>
      <c r="AA68" s="29">
        <f t="shared" si="64"/>
        <v>740836.86833333329</v>
      </c>
      <c r="AB68" s="29">
        <f t="shared" si="65"/>
        <v>1230521.2291666667</v>
      </c>
      <c r="AC68" s="29">
        <f t="shared" si="56"/>
        <v>106658.62583333335</v>
      </c>
      <c r="AD68" s="29">
        <f t="shared" si="66"/>
        <v>99742.55</v>
      </c>
      <c r="AE68" s="29">
        <f t="shared" si="67"/>
        <v>172682.46416666667</v>
      </c>
      <c r="AF68" s="29">
        <f t="shared" si="68"/>
        <v>327265.27666666667</v>
      </c>
      <c r="AG68" s="28">
        <f t="shared" si="69"/>
        <v>6529754.9489596589</v>
      </c>
      <c r="AH68" s="29">
        <f t="shared" si="70"/>
        <v>15355067.663646482</v>
      </c>
      <c r="AI68" s="29">
        <f t="shared" si="71"/>
        <v>11711514.192257063</v>
      </c>
      <c r="AJ68" s="29">
        <f t="shared" si="72"/>
        <v>18820274.531500388</v>
      </c>
      <c r="AK68" s="29">
        <f t="shared" si="46"/>
        <v>1527816.4326829542</v>
      </c>
      <c r="AL68" s="29">
        <f t="shared" si="76"/>
        <v>1362911.9458823532</v>
      </c>
      <c r="AM68" s="215">
        <f t="shared" si="73"/>
        <v>2294677.9511541151</v>
      </c>
      <c r="AN68" s="215">
        <f t="shared" si="86"/>
        <v>4556503.3245245302</v>
      </c>
      <c r="AO68" s="221">
        <v>5487015.6399999997</v>
      </c>
      <c r="AP68" s="180"/>
    </row>
    <row r="69" spans="1:43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29">
        <v>71633255.510000005</v>
      </c>
      <c r="J69" s="29">
        <v>20834812.639999997</v>
      </c>
      <c r="K69" s="29">
        <v>37944637.859999999</v>
      </c>
      <c r="L69" s="152">
        <v>2965975.91</v>
      </c>
      <c r="M69" s="29">
        <v>2309089.33</v>
      </c>
      <c r="N69" s="29">
        <v>4670062.6900000004</v>
      </c>
      <c r="O69" s="29">
        <v>3586950.89</v>
      </c>
      <c r="P69" s="29">
        <v>8481397.1899999995</v>
      </c>
      <c r="Q69" s="29">
        <v>4586279.71</v>
      </c>
      <c r="R69" s="29"/>
      <c r="S69" s="29"/>
      <c r="T69" s="29"/>
      <c r="U69" s="29"/>
      <c r="V69" s="29"/>
      <c r="W69" s="29"/>
      <c r="X69" s="127">
        <f t="shared" si="61"/>
        <v>26599755.719999999</v>
      </c>
      <c r="Y69" s="89">
        <f t="shared" si="62"/>
        <v>4935960.7516666669</v>
      </c>
      <c r="Z69" s="29">
        <f t="shared" si="63"/>
        <v>4219365.2208333332</v>
      </c>
      <c r="AA69" s="29">
        <f t="shared" si="64"/>
        <v>5349044.3</v>
      </c>
      <c r="AB69" s="29">
        <f t="shared" si="65"/>
        <v>6269339.7325000009</v>
      </c>
      <c r="AC69" s="29">
        <f t="shared" si="56"/>
        <v>7096273.7850000001</v>
      </c>
      <c r="AD69" s="29">
        <f t="shared" si="66"/>
        <v>6694186.6958333338</v>
      </c>
      <c r="AE69" s="29">
        <f t="shared" si="67"/>
        <v>5969437.9591666674</v>
      </c>
      <c r="AF69" s="29">
        <f t="shared" si="68"/>
        <v>1736234.3866666665</v>
      </c>
      <c r="AG69" s="28">
        <f t="shared" si="69"/>
        <v>82944758.737291604</v>
      </c>
      <c r="AH69" s="29">
        <f t="shared" si="70"/>
        <v>68123099.317209587</v>
      </c>
      <c r="AI69" s="29">
        <f t="shared" si="71"/>
        <v>84560327.532558724</v>
      </c>
      <c r="AJ69" s="29">
        <f t="shared" si="72"/>
        <v>95886760.91090183</v>
      </c>
      <c r="AK69" s="29">
        <f t="shared" si="46"/>
        <v>101649572.3138404</v>
      </c>
      <c r="AL69" s="29">
        <f t="shared" si="76"/>
        <v>91471363.181690961</v>
      </c>
      <c r="AM69" s="215">
        <f t="shared" si="73"/>
        <v>79324427.826449305</v>
      </c>
      <c r="AN69" s="215">
        <f t="shared" si="86"/>
        <v>28556196.46568403</v>
      </c>
      <c r="AO69" s="221">
        <v>37944637.859999999</v>
      </c>
      <c r="AP69" s="180"/>
    </row>
    <row r="70" spans="1:43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29">
        <v>23504030.18</v>
      </c>
      <c r="J70" s="29">
        <v>14028585.200000001</v>
      </c>
      <c r="K70" s="29">
        <v>17757070.200000003</v>
      </c>
      <c r="L70" s="152">
        <v>50000</v>
      </c>
      <c r="M70" s="29">
        <v>1634303</v>
      </c>
      <c r="N70" s="29">
        <v>814587</v>
      </c>
      <c r="O70" s="29">
        <v>15387</v>
      </c>
      <c r="P70" s="29">
        <v>1139200</v>
      </c>
      <c r="Q70" s="29">
        <v>1884223</v>
      </c>
      <c r="R70" s="29"/>
      <c r="S70" s="29"/>
      <c r="T70" s="29"/>
      <c r="U70" s="29"/>
      <c r="V70" s="29"/>
      <c r="W70" s="29"/>
      <c r="X70" s="127">
        <f t="shared" si="61"/>
        <v>5537700</v>
      </c>
      <c r="Y70" s="89">
        <f t="shared" si="62"/>
        <v>1532299.2691666668</v>
      </c>
      <c r="Z70" s="29">
        <f t="shared" si="63"/>
        <v>1418470.6066666667</v>
      </c>
      <c r="AA70" s="29">
        <f t="shared" si="64"/>
        <v>1469826.7699999998</v>
      </c>
      <c r="AB70" s="29">
        <f t="shared" si="65"/>
        <v>1468389.675</v>
      </c>
      <c r="AC70" s="29">
        <f t="shared" si="56"/>
        <v>1538526.1233333333</v>
      </c>
      <c r="AD70" s="29">
        <f t="shared" si="66"/>
        <v>1752085.5</v>
      </c>
      <c r="AE70" s="29">
        <f t="shared" si="67"/>
        <v>1958669.1816666666</v>
      </c>
      <c r="AF70" s="29">
        <f t="shared" si="68"/>
        <v>1169048.7666666668</v>
      </c>
      <c r="AG70" s="28">
        <f t="shared" si="69"/>
        <v>25749028.322691254</v>
      </c>
      <c r="AH70" s="29">
        <f t="shared" si="70"/>
        <v>22901694.676577706</v>
      </c>
      <c r="AI70" s="29">
        <f t="shared" si="71"/>
        <v>23235745.698969599</v>
      </c>
      <c r="AJ70" s="29">
        <f t="shared" si="72"/>
        <v>22458366.542311456</v>
      </c>
      <c r="AK70" s="29">
        <f t="shared" si="46"/>
        <v>22038400.316667631</v>
      </c>
      <c r="AL70" s="29">
        <f t="shared" si="76"/>
        <v>23941018.734304022</v>
      </c>
      <c r="AM70" s="215">
        <f t="shared" si="73"/>
        <v>26027628.262460023</v>
      </c>
      <c r="AN70" s="215">
        <f t="shared" si="86"/>
        <v>5945003.8125394657</v>
      </c>
      <c r="AO70" s="221">
        <v>17757070.200000003</v>
      </c>
      <c r="AP70" s="180"/>
    </row>
    <row r="71" spans="1:43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29">
        <v>6888287.5499999998</v>
      </c>
      <c r="J71" s="29">
        <v>21138211.759999998</v>
      </c>
      <c r="K71" s="29">
        <v>37588640.460000008</v>
      </c>
      <c r="L71" s="152">
        <v>1371043.59</v>
      </c>
      <c r="M71" s="29">
        <v>5317226.3600000003</v>
      </c>
      <c r="N71" s="29">
        <v>1746740.69</v>
      </c>
      <c r="O71" s="29">
        <v>6888762.5</v>
      </c>
      <c r="P71" s="29">
        <v>4401584.5600000005</v>
      </c>
      <c r="Q71" s="29">
        <v>8695692.8399999999</v>
      </c>
      <c r="R71" s="29"/>
      <c r="S71" s="29"/>
      <c r="T71" s="29"/>
      <c r="U71" s="29"/>
      <c r="V71" s="29"/>
      <c r="W71" s="29"/>
      <c r="X71" s="127">
        <f t="shared" si="61"/>
        <v>28421050.540000003</v>
      </c>
      <c r="Y71" s="89">
        <f t="shared" si="62"/>
        <v>612867.92416666669</v>
      </c>
      <c r="Z71" s="29">
        <f t="shared" si="63"/>
        <v>647353.9</v>
      </c>
      <c r="AA71" s="29">
        <f t="shared" si="64"/>
        <v>486240.36249999999</v>
      </c>
      <c r="AB71" s="29">
        <f t="shared" si="65"/>
        <v>464528.49333333335</v>
      </c>
      <c r="AC71" s="29">
        <f t="shared" si="56"/>
        <v>682288.34833333327</v>
      </c>
      <c r="AD71" s="29">
        <f t="shared" si="66"/>
        <v>327783.39083333331</v>
      </c>
      <c r="AE71" s="29">
        <f t="shared" si="67"/>
        <v>574023.96250000002</v>
      </c>
      <c r="AF71" s="29">
        <f t="shared" si="68"/>
        <v>1761517.6466666665</v>
      </c>
      <c r="AG71" s="28">
        <f t="shared" si="69"/>
        <v>10298741.149970515</v>
      </c>
      <c r="AH71" s="29">
        <f t="shared" si="70"/>
        <v>10451750.847577296</v>
      </c>
      <c r="AI71" s="29">
        <f t="shared" si="71"/>
        <v>7686727.1995765828</v>
      </c>
      <c r="AJ71" s="29">
        <f t="shared" si="72"/>
        <v>7104756.557640384</v>
      </c>
      <c r="AK71" s="29">
        <f t="shared" si="46"/>
        <v>9773343.1522047594</v>
      </c>
      <c r="AL71" s="29">
        <f t="shared" si="76"/>
        <v>4478929.9955593096</v>
      </c>
      <c r="AM71" s="215">
        <f t="shared" si="73"/>
        <v>7627874.2982932767</v>
      </c>
      <c r="AN71" s="215">
        <f t="shared" si="86"/>
        <v>30511449.48564871</v>
      </c>
      <c r="AO71" s="221">
        <v>37588640.460000008</v>
      </c>
      <c r="AP71" s="180"/>
    </row>
    <row r="72" spans="1:43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9">
        <v>22936271.919999998</v>
      </c>
      <c r="I72" s="29">
        <v>483472.96</v>
      </c>
      <c r="J72" s="29">
        <v>6543263.2699999996</v>
      </c>
      <c r="K72" s="29">
        <v>7721676.8899999997</v>
      </c>
      <c r="L72" s="152">
        <v>41191.599999999999</v>
      </c>
      <c r="M72" s="29">
        <v>21752.12</v>
      </c>
      <c r="N72" s="29">
        <v>173232.14</v>
      </c>
      <c r="O72" s="29">
        <v>20119.990000000002</v>
      </c>
      <c r="P72" s="29">
        <v>82589.990000000005</v>
      </c>
      <c r="Q72" s="29">
        <v>35496</v>
      </c>
      <c r="R72" s="29"/>
      <c r="S72" s="29"/>
      <c r="T72" s="29"/>
      <c r="U72" s="29"/>
      <c r="V72" s="29"/>
      <c r="W72" s="29"/>
      <c r="X72" s="127">
        <f t="shared" si="61"/>
        <v>374381.84</v>
      </c>
      <c r="Y72" s="89">
        <f t="shared" si="62"/>
        <v>132168.96583333335</v>
      </c>
      <c r="Z72" s="29">
        <f t="shared" si="63"/>
        <v>0</v>
      </c>
      <c r="AA72" s="29">
        <f t="shared" si="64"/>
        <v>0</v>
      </c>
      <c r="AB72" s="29">
        <f t="shared" si="65"/>
        <v>0</v>
      </c>
      <c r="AC72" s="29">
        <f t="shared" si="56"/>
        <v>0</v>
      </c>
      <c r="AD72" s="29">
        <f t="shared" si="66"/>
        <v>1911355.9933333332</v>
      </c>
      <c r="AE72" s="29">
        <f t="shared" si="67"/>
        <v>40289.413333333338</v>
      </c>
      <c r="AF72" s="29">
        <f t="shared" si="68"/>
        <v>545271.93916666659</v>
      </c>
      <c r="AG72" s="28">
        <f t="shared" si="69"/>
        <v>2220990.7118693194</v>
      </c>
      <c r="AH72" s="29">
        <f t="shared" si="70"/>
        <v>0</v>
      </c>
      <c r="AI72" s="29">
        <f t="shared" si="71"/>
        <v>0</v>
      </c>
      <c r="AJ72" s="29">
        <f t="shared" si="72"/>
        <v>0</v>
      </c>
      <c r="AK72" s="29">
        <f t="shared" si="46"/>
        <v>0</v>
      </c>
      <c r="AL72" s="29">
        <f t="shared" si="76"/>
        <v>26117338.248799846</v>
      </c>
      <c r="AM72" s="215">
        <f t="shared" si="73"/>
        <v>535382.84206845774</v>
      </c>
      <c r="AN72" s="215">
        <f t="shared" si="86"/>
        <v>401918.02844963444</v>
      </c>
      <c r="AO72" s="221">
        <v>7721676.8899999997</v>
      </c>
      <c r="AP72" s="180"/>
    </row>
    <row r="73" spans="1:43" x14ac:dyDescent="0.25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29">
        <v>134861680.31</v>
      </c>
      <c r="J73" s="29">
        <v>81713875.219999999</v>
      </c>
      <c r="K73" s="29">
        <v>185145773.72999999</v>
      </c>
      <c r="L73" s="152">
        <v>16278009.25</v>
      </c>
      <c r="M73" s="29">
        <v>16337595.790000001</v>
      </c>
      <c r="N73" s="29">
        <v>16701568.110000001</v>
      </c>
      <c r="O73" s="29">
        <v>17570729.109999999</v>
      </c>
      <c r="P73" s="29">
        <v>17055161.280000001</v>
      </c>
      <c r="Q73" s="165">
        <v>17952862.559999999</v>
      </c>
      <c r="R73" s="29"/>
      <c r="S73" s="29"/>
      <c r="T73" s="29"/>
      <c r="U73" s="29"/>
      <c r="V73" s="29"/>
      <c r="W73" s="29"/>
      <c r="X73" s="127">
        <f t="shared" si="61"/>
        <v>101895926.09999999</v>
      </c>
      <c r="Y73" s="89">
        <f t="shared" si="62"/>
        <v>42362.79583333333</v>
      </c>
      <c r="Z73" s="29">
        <f t="shared" si="63"/>
        <v>88402.58</v>
      </c>
      <c r="AA73" s="29">
        <f t="shared" si="64"/>
        <v>79173.69</v>
      </c>
      <c r="AB73" s="29">
        <f t="shared" si="65"/>
        <v>76648.539999999994</v>
      </c>
      <c r="AC73" s="29">
        <f t="shared" si="56"/>
        <v>76648.539999999994</v>
      </c>
      <c r="AD73" s="29">
        <f t="shared" si="66"/>
        <v>163239.31249999997</v>
      </c>
      <c r="AE73" s="29">
        <f t="shared" si="67"/>
        <v>11238473.359166667</v>
      </c>
      <c r="AF73" s="29">
        <f t="shared" si="68"/>
        <v>6809489.6016666666</v>
      </c>
      <c r="AG73" s="28">
        <f t="shared" si="69"/>
        <v>711871.92455825792</v>
      </c>
      <c r="AH73" s="29">
        <f t="shared" si="70"/>
        <v>1427289.9884329417</v>
      </c>
      <c r="AI73" s="29">
        <f t="shared" si="71"/>
        <v>1251616.6969043927</v>
      </c>
      <c r="AJ73" s="29">
        <f t="shared" si="72"/>
        <v>1172305.3053018921</v>
      </c>
      <c r="AK73" s="29">
        <f t="shared" si="46"/>
        <v>1097941.1935809758</v>
      </c>
      <c r="AL73" s="29">
        <f t="shared" si="76"/>
        <v>2230550.6430693069</v>
      </c>
      <c r="AM73" s="215">
        <f t="shared" si="73"/>
        <v>149341608.86783734</v>
      </c>
      <c r="AN73" s="215">
        <f t="shared" si="86"/>
        <v>109390481.45380567</v>
      </c>
      <c r="AO73" s="221">
        <v>185145773.72999999</v>
      </c>
      <c r="AP73" s="180"/>
    </row>
    <row r="74" spans="1:43" s="125" customFormat="1" x14ac:dyDescent="0.25">
      <c r="A74" s="17" t="s">
        <v>283</v>
      </c>
      <c r="B74" s="27"/>
      <c r="C74" s="89"/>
      <c r="D74" s="29"/>
      <c r="E74" s="29"/>
      <c r="F74" s="29"/>
      <c r="G74" s="29"/>
      <c r="H74" s="29"/>
      <c r="I74" s="29"/>
      <c r="J74" s="29"/>
      <c r="K74" s="29">
        <v>50000</v>
      </c>
      <c r="L74" s="152"/>
      <c r="M74" s="29"/>
      <c r="N74" s="29"/>
      <c r="O74" s="29"/>
      <c r="P74" s="29"/>
      <c r="Q74" s="165"/>
      <c r="R74" s="29"/>
      <c r="S74" s="29"/>
      <c r="T74" s="29"/>
      <c r="U74" s="29"/>
      <c r="V74" s="29"/>
      <c r="W74" s="29"/>
      <c r="X74" s="127">
        <f t="shared" si="61"/>
        <v>0</v>
      </c>
      <c r="Y74" s="89"/>
      <c r="Z74" s="29"/>
      <c r="AA74" s="29"/>
      <c r="AB74" s="29"/>
      <c r="AC74" s="29"/>
      <c r="AD74" s="29"/>
      <c r="AE74" s="29"/>
      <c r="AF74" s="29"/>
      <c r="AG74" s="28"/>
      <c r="AH74" s="29"/>
      <c r="AI74" s="29"/>
      <c r="AJ74" s="29"/>
      <c r="AK74" s="29"/>
      <c r="AL74" s="29"/>
      <c r="AM74" s="215"/>
      <c r="AN74" s="215"/>
      <c r="AO74" s="221">
        <v>50000</v>
      </c>
      <c r="AP74" s="180"/>
      <c r="AQ74" s="3"/>
    </row>
    <row r="75" spans="1:43" ht="17.25" x14ac:dyDescent="0.4">
      <c r="A75" s="94" t="s">
        <v>244</v>
      </c>
      <c r="B75" s="120"/>
      <c r="C75" s="117">
        <f t="shared" ref="C75:E75" si="87">SUM(C76)</f>
        <v>424149.4</v>
      </c>
      <c r="D75" s="118">
        <f t="shared" si="87"/>
        <v>0</v>
      </c>
      <c r="E75" s="118">
        <f t="shared" si="87"/>
        <v>3286968.01</v>
      </c>
      <c r="F75" s="118">
        <v>3881485.91</v>
      </c>
      <c r="G75" s="118">
        <v>5549941.6300000008</v>
      </c>
      <c r="H75" s="118">
        <v>5814665.3799999999</v>
      </c>
      <c r="I75" s="118">
        <v>5580787.5899999999</v>
      </c>
      <c r="J75" s="118">
        <v>1285184.1800000002</v>
      </c>
      <c r="K75" s="118">
        <v>2597844.54</v>
      </c>
      <c r="L75" s="153">
        <f>SUM(L76)</f>
        <v>252672.58</v>
      </c>
      <c r="M75" s="153">
        <f t="shared" ref="M75:W79" si="88">SUM(M76)</f>
        <v>250500.72</v>
      </c>
      <c r="N75" s="153">
        <f t="shared" si="88"/>
        <v>241097.54</v>
      </c>
      <c r="O75" s="153">
        <f t="shared" si="88"/>
        <v>266137.28000000003</v>
      </c>
      <c r="P75" s="153">
        <f t="shared" si="88"/>
        <v>289237.5</v>
      </c>
      <c r="Q75" s="153">
        <f t="shared" si="88"/>
        <v>275129.16000000003</v>
      </c>
      <c r="R75" s="153">
        <f t="shared" si="88"/>
        <v>0</v>
      </c>
      <c r="S75" s="153">
        <f t="shared" si="88"/>
        <v>0</v>
      </c>
      <c r="T75" s="153">
        <f t="shared" si="88"/>
        <v>0</v>
      </c>
      <c r="U75" s="153">
        <f t="shared" si="88"/>
        <v>0</v>
      </c>
      <c r="V75" s="153">
        <f t="shared" si="88"/>
        <v>0</v>
      </c>
      <c r="W75" s="153">
        <f t="shared" si="88"/>
        <v>0</v>
      </c>
      <c r="X75" s="128">
        <f t="shared" ref="X75:X92" si="89">SUM(L75:W75)</f>
        <v>1574774.7800000003</v>
      </c>
      <c r="Y75" s="117">
        <f t="shared" ref="Y75:AA76" si="90">+C75/12</f>
        <v>35345.783333333333</v>
      </c>
      <c r="Z75" s="118">
        <f t="shared" si="90"/>
        <v>0</v>
      </c>
      <c r="AA75" s="118">
        <f t="shared" si="90"/>
        <v>273914.0008333333</v>
      </c>
      <c r="AB75" s="118">
        <f t="shared" ref="AB75:AE76" si="91">F75/12</f>
        <v>323457.15916666668</v>
      </c>
      <c r="AC75" s="118">
        <f t="shared" si="91"/>
        <v>462495.13583333342</v>
      </c>
      <c r="AD75" s="118">
        <f t="shared" si="91"/>
        <v>484555.4483333333</v>
      </c>
      <c r="AE75" s="118">
        <f t="shared" si="91"/>
        <v>465065.63250000001</v>
      </c>
      <c r="AF75" s="118">
        <f t="shared" ref="AF75:AF76" si="92">J75/12</f>
        <v>107098.68166666669</v>
      </c>
      <c r="AG75" s="162">
        <f>$AG$6*C75</f>
        <v>593956.80364232801</v>
      </c>
      <c r="AH75" s="118">
        <f>$AH$6*D75</f>
        <v>0</v>
      </c>
      <c r="AI75" s="118">
        <f>$AI$6*E75</f>
        <v>4330167.4705180945</v>
      </c>
      <c r="AJ75" s="118">
        <f>$AJ$6*$F75</f>
        <v>4947133.2882395657</v>
      </c>
      <c r="AK75" s="118">
        <f>$AK$6*G75</f>
        <v>6624946.2998544481</v>
      </c>
      <c r="AL75" s="118">
        <f>$AL$6*H75</f>
        <v>6621110.1378085818</v>
      </c>
      <c r="AM75" s="223">
        <f>$AM$6*I75</f>
        <v>6179989.7163112881</v>
      </c>
      <c r="AN75" s="223">
        <f>$AN$6*X75</f>
        <v>1690601.1649224409</v>
      </c>
      <c r="AO75" s="224">
        <v>2597844.54</v>
      </c>
      <c r="AP75" s="180"/>
      <c r="AQ75" s="189"/>
    </row>
    <row r="76" spans="1:43" s="121" customFormat="1" ht="17.25" x14ac:dyDescent="0.4">
      <c r="A76" s="17" t="s">
        <v>56</v>
      </c>
      <c r="B76" s="27"/>
      <c r="C76" s="89">
        <v>424149.4</v>
      </c>
      <c r="D76" s="29"/>
      <c r="E76" s="29">
        <v>3286968.01</v>
      </c>
      <c r="F76" s="29">
        <v>3881485.91</v>
      </c>
      <c r="G76" s="29">
        <v>5549941.6300000008</v>
      </c>
      <c r="H76" s="29">
        <v>5814665.3799999999</v>
      </c>
      <c r="I76" s="29">
        <v>5580787.5899999999</v>
      </c>
      <c r="J76" s="29">
        <v>1285184.1800000002</v>
      </c>
      <c r="K76" s="29">
        <v>2597844.54</v>
      </c>
      <c r="L76" s="152">
        <v>252672.58</v>
      </c>
      <c r="M76" s="29">
        <v>250500.72</v>
      </c>
      <c r="N76" s="29">
        <v>241097.54</v>
      </c>
      <c r="O76" s="29">
        <v>266137.28000000003</v>
      </c>
      <c r="P76" s="29">
        <v>289237.5</v>
      </c>
      <c r="Q76" s="29">
        <v>275129.16000000003</v>
      </c>
      <c r="R76" s="29"/>
      <c r="S76" s="29"/>
      <c r="T76" s="29"/>
      <c r="U76" s="29"/>
      <c r="V76" s="29"/>
      <c r="W76" s="29"/>
      <c r="X76" s="193">
        <f t="shared" si="61"/>
        <v>1574774.7800000003</v>
      </c>
      <c r="Y76" s="89">
        <f t="shared" si="90"/>
        <v>35345.783333333333</v>
      </c>
      <c r="Z76" s="29">
        <f t="shared" si="90"/>
        <v>0</v>
      </c>
      <c r="AA76" s="29">
        <f t="shared" si="90"/>
        <v>273914.0008333333</v>
      </c>
      <c r="AB76" s="29">
        <f t="shared" si="91"/>
        <v>323457.15916666668</v>
      </c>
      <c r="AC76" s="29">
        <f t="shared" si="91"/>
        <v>462495.13583333342</v>
      </c>
      <c r="AD76" s="29">
        <f t="shared" si="91"/>
        <v>484555.4483333333</v>
      </c>
      <c r="AE76" s="29">
        <f t="shared" si="91"/>
        <v>465065.63250000001</v>
      </c>
      <c r="AF76" s="29">
        <f t="shared" si="92"/>
        <v>107098.68166666669</v>
      </c>
      <c r="AG76" s="28">
        <f>$AG$6*C76</f>
        <v>593956.80364232801</v>
      </c>
      <c r="AH76" s="29">
        <f>$AH$6*D76</f>
        <v>0</v>
      </c>
      <c r="AI76" s="29">
        <f>$AI$6*E76</f>
        <v>4330167.4705180945</v>
      </c>
      <c r="AJ76" s="29">
        <f>$AJ$6*$F76</f>
        <v>4947133.2882395657</v>
      </c>
      <c r="AK76" s="29">
        <f>$AK$6*G76</f>
        <v>6624946.2998544481</v>
      </c>
      <c r="AL76" s="29">
        <f>$AL$6*H76</f>
        <v>6621110.1378085818</v>
      </c>
      <c r="AM76" s="215">
        <f>$AM$6*I76</f>
        <v>6179989.7163112881</v>
      </c>
      <c r="AN76" s="215">
        <f>$AN$6*X76</f>
        <v>1690601.1649224409</v>
      </c>
      <c r="AO76" s="240">
        <v>2597844.54</v>
      </c>
      <c r="AP76" s="184"/>
      <c r="AQ76" s="189"/>
    </row>
    <row r="77" spans="1:43" s="121" customFormat="1" ht="17.25" x14ac:dyDescent="0.4">
      <c r="A77" s="94" t="s">
        <v>277</v>
      </c>
      <c r="B77" s="27"/>
      <c r="C77" s="89"/>
      <c r="D77" s="29"/>
      <c r="E77" s="29"/>
      <c r="F77" s="29"/>
      <c r="G77" s="29"/>
      <c r="H77" s="29"/>
      <c r="I77" s="29">
        <v>3450.88</v>
      </c>
      <c r="J77" s="29">
        <v>0</v>
      </c>
      <c r="K77" s="29">
        <v>0</v>
      </c>
      <c r="L77" s="152"/>
      <c r="M77" s="29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28">
        <f t="shared" si="89"/>
        <v>0</v>
      </c>
      <c r="Y77" s="89"/>
      <c r="Z77" s="29"/>
      <c r="AA77" s="29"/>
      <c r="AB77" s="29"/>
      <c r="AC77" s="29"/>
      <c r="AD77" s="29"/>
      <c r="AE77" s="198">
        <f t="shared" ref="AE77:AE89" si="93">I77/12</f>
        <v>287.57333333333332</v>
      </c>
      <c r="AF77" s="198">
        <f t="shared" ref="AF77:AF89" si="94">J77/12</f>
        <v>0</v>
      </c>
      <c r="AG77" s="28"/>
      <c r="AH77" s="29"/>
      <c r="AI77" s="29"/>
      <c r="AJ77" s="29"/>
      <c r="AK77" s="29"/>
      <c r="AL77" s="29"/>
      <c r="AM77" s="215"/>
      <c r="AN77" s="215">
        <f t="shared" ref="AN77:AN82" si="95">$AM$6*X77</f>
        <v>0</v>
      </c>
      <c r="AO77" s="224">
        <v>0</v>
      </c>
      <c r="AP77" s="184"/>
      <c r="AQ77" s="189"/>
    </row>
    <row r="78" spans="1:43" s="121" customFormat="1" ht="17.25" x14ac:dyDescent="0.4">
      <c r="A78" s="17" t="s">
        <v>275</v>
      </c>
      <c r="B78" s="27"/>
      <c r="C78" s="89"/>
      <c r="D78" s="29"/>
      <c r="E78" s="29"/>
      <c r="F78" s="29"/>
      <c r="G78" s="29"/>
      <c r="H78" s="29"/>
      <c r="I78" s="29">
        <v>3450.88</v>
      </c>
      <c r="J78" s="29">
        <v>0</v>
      </c>
      <c r="K78" s="29">
        <v>0</v>
      </c>
      <c r="L78" s="152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127">
        <f t="shared" si="89"/>
        <v>0</v>
      </c>
      <c r="Y78" s="89"/>
      <c r="Z78" s="29"/>
      <c r="AA78" s="29"/>
      <c r="AB78" s="29"/>
      <c r="AC78" s="29"/>
      <c r="AD78" s="29"/>
      <c r="AE78" s="29">
        <f t="shared" si="93"/>
        <v>287.57333333333332</v>
      </c>
      <c r="AF78" s="29">
        <f t="shared" si="94"/>
        <v>0</v>
      </c>
      <c r="AG78" s="28"/>
      <c r="AH78" s="29"/>
      <c r="AI78" s="29"/>
      <c r="AJ78" s="29"/>
      <c r="AK78" s="29"/>
      <c r="AL78" s="29"/>
      <c r="AM78" s="215"/>
      <c r="AN78" s="215">
        <f t="shared" si="95"/>
        <v>0</v>
      </c>
      <c r="AO78" s="228">
        <v>0</v>
      </c>
      <c r="AP78" s="184"/>
      <c r="AQ78" s="189"/>
    </row>
    <row r="79" spans="1:43" s="121" customFormat="1" ht="17.25" x14ac:dyDescent="0.4">
      <c r="A79" s="94" t="s">
        <v>278</v>
      </c>
      <c r="B79" s="27"/>
      <c r="C79" s="89"/>
      <c r="D79" s="29"/>
      <c r="E79" s="29"/>
      <c r="F79" s="29"/>
      <c r="G79" s="29"/>
      <c r="H79" s="29"/>
      <c r="I79" s="29">
        <v>141975.70000000001</v>
      </c>
      <c r="J79" s="29">
        <v>5802</v>
      </c>
      <c r="K79" s="29">
        <v>113813.22</v>
      </c>
      <c r="L79" s="192">
        <f>L80</f>
        <v>97509.22</v>
      </c>
      <c r="M79" s="192">
        <f>M80</f>
        <v>-97509.22</v>
      </c>
      <c r="N79" s="153">
        <f t="shared" si="88"/>
        <v>0</v>
      </c>
      <c r="O79" s="153">
        <f t="shared" si="88"/>
        <v>0</v>
      </c>
      <c r="P79" s="153">
        <f t="shared" si="88"/>
        <v>0</v>
      </c>
      <c r="Q79" s="153">
        <f t="shared" si="88"/>
        <v>0</v>
      </c>
      <c r="R79" s="153">
        <f t="shared" si="88"/>
        <v>0</v>
      </c>
      <c r="S79" s="153">
        <f t="shared" si="88"/>
        <v>0</v>
      </c>
      <c r="T79" s="153">
        <f t="shared" si="88"/>
        <v>0</v>
      </c>
      <c r="U79" s="153">
        <f t="shared" si="88"/>
        <v>0</v>
      </c>
      <c r="V79" s="153">
        <f t="shared" si="88"/>
        <v>0</v>
      </c>
      <c r="W79" s="153">
        <f t="shared" si="88"/>
        <v>0</v>
      </c>
      <c r="X79" s="194">
        <f t="shared" si="89"/>
        <v>0</v>
      </c>
      <c r="Y79" s="89"/>
      <c r="Z79" s="29"/>
      <c r="AA79" s="29"/>
      <c r="AB79" s="29"/>
      <c r="AC79" s="29"/>
      <c r="AD79" s="29"/>
      <c r="AE79" s="198">
        <f t="shared" si="93"/>
        <v>11831.308333333334</v>
      </c>
      <c r="AF79" s="198">
        <f t="shared" si="94"/>
        <v>483.5</v>
      </c>
      <c r="AG79" s="28"/>
      <c r="AH79" s="29"/>
      <c r="AI79" s="29"/>
      <c r="AJ79" s="29"/>
      <c r="AK79" s="29"/>
      <c r="AL79" s="29"/>
      <c r="AM79" s="215"/>
      <c r="AN79" s="225">
        <f>$AN$6*X79</f>
        <v>0</v>
      </c>
      <c r="AO79" s="224">
        <v>113813.22</v>
      </c>
      <c r="AP79" s="184"/>
      <c r="AQ79" s="189"/>
    </row>
    <row r="80" spans="1:43" s="121" customFormat="1" ht="17.25" x14ac:dyDescent="0.4">
      <c r="A80" s="17" t="s">
        <v>276</v>
      </c>
      <c r="B80" s="27"/>
      <c r="C80" s="89"/>
      <c r="D80" s="29"/>
      <c r="E80" s="29"/>
      <c r="F80" s="29"/>
      <c r="G80" s="29"/>
      <c r="H80" s="29"/>
      <c r="I80" s="29">
        <v>141975.70000000001</v>
      </c>
      <c r="J80" s="29">
        <v>5802</v>
      </c>
      <c r="K80" s="29">
        <v>113813.22</v>
      </c>
      <c r="L80" s="152">
        <v>97509.22</v>
      </c>
      <c r="M80" s="29">
        <v>-97509.22</v>
      </c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193">
        <f t="shared" ref="X80" si="96">SUM(L80:W80)</f>
        <v>0</v>
      </c>
      <c r="Y80" s="89"/>
      <c r="Z80" s="29"/>
      <c r="AA80" s="29"/>
      <c r="AB80" s="29"/>
      <c r="AC80" s="29"/>
      <c r="AD80" s="29"/>
      <c r="AE80" s="29">
        <f t="shared" si="93"/>
        <v>11831.308333333334</v>
      </c>
      <c r="AF80" s="29">
        <f t="shared" si="94"/>
        <v>483.5</v>
      </c>
      <c r="AG80" s="28"/>
      <c r="AH80" s="29"/>
      <c r="AI80" s="29"/>
      <c r="AJ80" s="29"/>
      <c r="AK80" s="29"/>
      <c r="AL80" s="29"/>
      <c r="AM80" s="215"/>
      <c r="AN80" s="215">
        <f>$AN$6*X80</f>
        <v>0</v>
      </c>
      <c r="AO80" s="240">
        <v>113813.22</v>
      </c>
      <c r="AP80" s="184"/>
      <c r="AQ80" s="189"/>
    </row>
    <row r="81" spans="1:43" s="121" customFormat="1" ht="17.25" x14ac:dyDescent="0.4">
      <c r="A81" s="17"/>
      <c r="B81" s="27"/>
      <c r="C81" s="89"/>
      <c r="D81" s="29"/>
      <c r="E81" s="29"/>
      <c r="F81" s="29"/>
      <c r="G81" s="29"/>
      <c r="H81" s="29"/>
      <c r="I81" s="29"/>
      <c r="J81" s="29">
        <v>0</v>
      </c>
      <c r="K81" s="29">
        <v>0</v>
      </c>
      <c r="L81" s="152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127">
        <f t="shared" si="89"/>
        <v>0</v>
      </c>
      <c r="Y81" s="89"/>
      <c r="Z81" s="29"/>
      <c r="AA81" s="29"/>
      <c r="AB81" s="29"/>
      <c r="AC81" s="29"/>
      <c r="AD81" s="29"/>
      <c r="AE81" s="29">
        <f t="shared" si="93"/>
        <v>0</v>
      </c>
      <c r="AF81" s="29">
        <f t="shared" si="94"/>
        <v>0</v>
      </c>
      <c r="AG81" s="28"/>
      <c r="AH81" s="29"/>
      <c r="AI81" s="29"/>
      <c r="AJ81" s="29"/>
      <c r="AK81" s="29"/>
      <c r="AL81" s="29"/>
      <c r="AM81" s="215"/>
      <c r="AN81" s="215">
        <f t="shared" si="95"/>
        <v>0</v>
      </c>
      <c r="AO81" s="228">
        <v>0</v>
      </c>
      <c r="AP81" s="184"/>
      <c r="AQ81" s="189"/>
    </row>
    <row r="82" spans="1:43" s="121" customFormat="1" ht="17.25" x14ac:dyDescent="0.4">
      <c r="A82" s="17"/>
      <c r="B82" s="27"/>
      <c r="C82" s="89"/>
      <c r="D82" s="29"/>
      <c r="E82" s="29"/>
      <c r="F82" s="29"/>
      <c r="G82" s="29"/>
      <c r="H82" s="29"/>
      <c r="I82" s="29"/>
      <c r="J82" s="29">
        <v>0</v>
      </c>
      <c r="K82" s="29">
        <v>0</v>
      </c>
      <c r="L82" s="152"/>
      <c r="M82" s="29"/>
      <c r="N82" s="29"/>
      <c r="O82" s="29"/>
      <c r="P82" s="29"/>
      <c r="Q82" s="29"/>
      <c r="R82" s="29"/>
      <c r="S82" s="29"/>
      <c r="T82" s="29">
        <v>0</v>
      </c>
      <c r="U82" s="29"/>
      <c r="V82" s="29"/>
      <c r="W82" s="29"/>
      <c r="X82" s="127">
        <f t="shared" si="89"/>
        <v>0</v>
      </c>
      <c r="Y82" s="89"/>
      <c r="Z82" s="29"/>
      <c r="AA82" s="29"/>
      <c r="AB82" s="29"/>
      <c r="AC82" s="29"/>
      <c r="AD82" s="29"/>
      <c r="AE82" s="29">
        <f t="shared" si="93"/>
        <v>0</v>
      </c>
      <c r="AF82" s="29">
        <f t="shared" si="94"/>
        <v>0</v>
      </c>
      <c r="AG82" s="28"/>
      <c r="AH82" s="29"/>
      <c r="AI82" s="29"/>
      <c r="AJ82" s="29"/>
      <c r="AK82" s="29"/>
      <c r="AL82" s="29"/>
      <c r="AM82" s="215"/>
      <c r="AN82" s="215">
        <f t="shared" si="95"/>
        <v>0</v>
      </c>
      <c r="AO82" s="228">
        <v>0</v>
      </c>
      <c r="AP82" s="184"/>
      <c r="AQ82" s="3"/>
    </row>
    <row r="83" spans="1:43" ht="17.25" x14ac:dyDescent="0.4">
      <c r="A83" s="94" t="s">
        <v>245</v>
      </c>
      <c r="B83" s="96"/>
      <c r="C83" s="97">
        <f t="shared" ref="C83:F83" si="97">SUM(C84)</f>
        <v>5080255.03</v>
      </c>
      <c r="D83" s="98">
        <f t="shared" si="97"/>
        <v>0</v>
      </c>
      <c r="E83" s="98">
        <f t="shared" si="97"/>
        <v>0</v>
      </c>
      <c r="F83" s="98">
        <f t="shared" si="97"/>
        <v>0</v>
      </c>
      <c r="G83" s="98">
        <v>0</v>
      </c>
      <c r="H83" s="98">
        <v>0</v>
      </c>
      <c r="I83" s="98"/>
      <c r="J83" s="98">
        <v>11802613.049999997</v>
      </c>
      <c r="K83" s="98">
        <v>11827231.089999996</v>
      </c>
      <c r="L83" s="154">
        <f>SUM(L84)</f>
        <v>0</v>
      </c>
      <c r="M83" s="154">
        <f t="shared" ref="M83:W83" si="98">SUM(M84)</f>
        <v>0</v>
      </c>
      <c r="N83" s="154">
        <f t="shared" si="98"/>
        <v>0</v>
      </c>
      <c r="O83" s="154">
        <f t="shared" si="98"/>
        <v>0</v>
      </c>
      <c r="P83" s="154">
        <f t="shared" si="98"/>
        <v>0</v>
      </c>
      <c r="Q83" s="154">
        <f t="shared" si="98"/>
        <v>0</v>
      </c>
      <c r="R83" s="154">
        <f t="shared" si="98"/>
        <v>0</v>
      </c>
      <c r="S83" s="154">
        <f t="shared" si="98"/>
        <v>0</v>
      </c>
      <c r="T83" s="154">
        <f t="shared" si="98"/>
        <v>0</v>
      </c>
      <c r="U83" s="154">
        <f t="shared" si="98"/>
        <v>0</v>
      </c>
      <c r="V83" s="154">
        <f t="shared" si="98"/>
        <v>0</v>
      </c>
      <c r="W83" s="154">
        <f t="shared" si="98"/>
        <v>0</v>
      </c>
      <c r="X83" s="128">
        <f t="shared" si="89"/>
        <v>0</v>
      </c>
      <c r="Y83" s="97">
        <f t="shared" ref="Y83:AA86" si="99">+C83/12</f>
        <v>423354.58583333337</v>
      </c>
      <c r="Z83" s="98">
        <f t="shared" si="99"/>
        <v>0</v>
      </c>
      <c r="AA83" s="98">
        <f t="shared" si="99"/>
        <v>0</v>
      </c>
      <c r="AB83" s="98">
        <f t="shared" ref="AB83:AC86" si="100">F83/12</f>
        <v>0</v>
      </c>
      <c r="AC83" s="98">
        <f t="shared" si="100"/>
        <v>0</v>
      </c>
      <c r="AD83" s="98">
        <v>0</v>
      </c>
      <c r="AE83" s="199">
        <f t="shared" si="93"/>
        <v>0</v>
      </c>
      <c r="AF83" s="198">
        <f t="shared" si="94"/>
        <v>983551.08749999979</v>
      </c>
      <c r="AG83" s="161">
        <f>$AG$6*C83</f>
        <v>7114125.4456723481</v>
      </c>
      <c r="AH83" s="98">
        <f>$AH$6*D83</f>
        <v>0</v>
      </c>
      <c r="AI83" s="98">
        <f>$AI$6*E83</f>
        <v>0</v>
      </c>
      <c r="AJ83" s="98">
        <f>$AJ$6*$F83</f>
        <v>0</v>
      </c>
      <c r="AK83" s="98">
        <f>$AK$6*G83</f>
        <v>0</v>
      </c>
      <c r="AL83" s="98">
        <f t="shared" ref="AL83:AL93" si="101">$AL$6*H83</f>
        <v>0</v>
      </c>
      <c r="AM83" s="225">
        <f t="shared" ref="AM83:AM91" si="102">$AM$6*I83</f>
        <v>0</v>
      </c>
      <c r="AN83" s="225">
        <f t="shared" ref="AN83:AN89" si="103">$AN$6*X83</f>
        <v>0</v>
      </c>
      <c r="AO83" s="224">
        <v>11827231.089999996</v>
      </c>
      <c r="AP83" s="180"/>
      <c r="AQ83" s="186"/>
    </row>
    <row r="84" spans="1:43" s="99" customFormat="1" x14ac:dyDescent="0.25">
      <c r="A84" s="201" t="s">
        <v>57</v>
      </c>
      <c r="B84" s="200"/>
      <c r="C84" s="89">
        <v>5080255.03</v>
      </c>
      <c r="D84" s="29"/>
      <c r="E84" s="29"/>
      <c r="F84" s="29">
        <v>0</v>
      </c>
      <c r="G84" s="29">
        <v>0</v>
      </c>
      <c r="H84" s="29">
        <v>0</v>
      </c>
      <c r="I84" s="29"/>
      <c r="J84" s="29">
        <v>11802613.049999997</v>
      </c>
      <c r="K84" s="29">
        <v>11827231.089999996</v>
      </c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27">
        <f t="shared" ref="X84" si="104">SUM(L84:W84)</f>
        <v>0</v>
      </c>
      <c r="Y84" s="89">
        <f t="shared" si="99"/>
        <v>423354.58583333337</v>
      </c>
      <c r="Z84" s="29">
        <f t="shared" si="99"/>
        <v>0</v>
      </c>
      <c r="AA84" s="29">
        <f t="shared" si="99"/>
        <v>0</v>
      </c>
      <c r="AB84" s="29">
        <f t="shared" si="100"/>
        <v>0</v>
      </c>
      <c r="AC84" s="29">
        <f t="shared" si="100"/>
        <v>0</v>
      </c>
      <c r="AD84" s="29">
        <v>0</v>
      </c>
      <c r="AE84" s="199">
        <f t="shared" si="93"/>
        <v>0</v>
      </c>
      <c r="AF84" s="199">
        <f t="shared" si="94"/>
        <v>983551.08749999979</v>
      </c>
      <c r="AG84" s="28">
        <f>$AG$6*C84</f>
        <v>7114125.4456723481</v>
      </c>
      <c r="AH84" s="29">
        <f>$AH$6*D84</f>
        <v>0</v>
      </c>
      <c r="AI84" s="29">
        <f>$AI$6*E84</f>
        <v>0</v>
      </c>
      <c r="AJ84" s="29">
        <f>$AJ$6*$F84</f>
        <v>0</v>
      </c>
      <c r="AK84" s="29">
        <f>$AK$6*G84</f>
        <v>0</v>
      </c>
      <c r="AL84" s="29">
        <f t="shared" si="101"/>
        <v>0</v>
      </c>
      <c r="AM84" s="215">
        <f t="shared" si="102"/>
        <v>0</v>
      </c>
      <c r="AN84" s="215">
        <f t="shared" si="103"/>
        <v>0</v>
      </c>
      <c r="AO84" s="240">
        <v>11827231.089999996</v>
      </c>
      <c r="AP84" s="183"/>
      <c r="AQ84" s="3"/>
    </row>
    <row r="85" spans="1:43" ht="17.25" x14ac:dyDescent="0.4">
      <c r="A85" s="94" t="s">
        <v>246</v>
      </c>
      <c r="B85" s="96"/>
      <c r="C85" s="97">
        <f t="shared" ref="C85:F85" si="105">SUM(C86)</f>
        <v>3752773.55</v>
      </c>
      <c r="D85" s="98">
        <f t="shared" si="105"/>
        <v>0</v>
      </c>
      <c r="E85" s="98">
        <f t="shared" si="105"/>
        <v>0</v>
      </c>
      <c r="F85" s="98">
        <f t="shared" si="105"/>
        <v>0</v>
      </c>
      <c r="G85" s="98">
        <v>5192798.7699999996</v>
      </c>
      <c r="H85" s="98">
        <v>3520716.5100000002</v>
      </c>
      <c r="I85" s="98">
        <v>18806999.059999999</v>
      </c>
      <c r="J85" s="98">
        <v>11897436.430000002</v>
      </c>
      <c r="K85" s="98">
        <v>19238869.420000002</v>
      </c>
      <c r="L85" s="154">
        <f>L86</f>
        <v>1898459.6300000001</v>
      </c>
      <c r="M85" s="154">
        <f>M86</f>
        <v>1896887.01</v>
      </c>
      <c r="N85" s="154">
        <f>SUM(N86:N87)</f>
        <v>1882356.28</v>
      </c>
      <c r="O85" s="154">
        <f t="shared" ref="O85:W85" si="106">SUM(O86:O87)</f>
        <v>31307201.07</v>
      </c>
      <c r="P85" s="154">
        <f t="shared" si="106"/>
        <v>1890951.1199999999</v>
      </c>
      <c r="Q85" s="154">
        <f t="shared" si="106"/>
        <v>0</v>
      </c>
      <c r="R85" s="154">
        <f t="shared" si="106"/>
        <v>0</v>
      </c>
      <c r="S85" s="154">
        <f t="shared" ref="S85:T85" si="107">SUM(S86:S87)</f>
        <v>0</v>
      </c>
      <c r="T85" s="154">
        <f t="shared" si="107"/>
        <v>0</v>
      </c>
      <c r="U85" s="154">
        <f t="shared" si="106"/>
        <v>0</v>
      </c>
      <c r="V85" s="154">
        <f t="shared" si="106"/>
        <v>0</v>
      </c>
      <c r="W85" s="154">
        <f t="shared" si="106"/>
        <v>0</v>
      </c>
      <c r="X85" s="128">
        <f>SUM(L85:W85)</f>
        <v>38875855.109999999</v>
      </c>
      <c r="Y85" s="97">
        <f t="shared" si="99"/>
        <v>312731.12916666665</v>
      </c>
      <c r="Z85" s="98">
        <f t="shared" si="99"/>
        <v>0</v>
      </c>
      <c r="AA85" s="98">
        <f t="shared" si="99"/>
        <v>0</v>
      </c>
      <c r="AB85" s="98">
        <f t="shared" si="100"/>
        <v>0</v>
      </c>
      <c r="AC85" s="98">
        <f t="shared" si="100"/>
        <v>432733.23083333328</v>
      </c>
      <c r="AD85" s="98">
        <f>H85/12</f>
        <v>293393.04250000004</v>
      </c>
      <c r="AE85" s="98">
        <f t="shared" si="93"/>
        <v>1567249.9216666666</v>
      </c>
      <c r="AF85" s="98">
        <f t="shared" si="94"/>
        <v>991453.0358333335</v>
      </c>
      <c r="AG85" s="161">
        <f>$AG$6*C85</f>
        <v>5255189.2860191995</v>
      </c>
      <c r="AH85" s="98">
        <f>$AH$6*D85</f>
        <v>0</v>
      </c>
      <c r="AI85" s="98">
        <f>$AI$6*E85</f>
        <v>0</v>
      </c>
      <c r="AJ85" s="98">
        <f>$AJ$6*$F85</f>
        <v>0</v>
      </c>
      <c r="AK85" s="98">
        <f>$AK$6*G85</f>
        <v>6198626.0920730112</v>
      </c>
      <c r="AL85" s="98">
        <f t="shared" si="101"/>
        <v>4009010.0209190459</v>
      </c>
      <c r="AM85" s="223">
        <f t="shared" si="102"/>
        <v>20826282.833938867</v>
      </c>
      <c r="AN85" s="223">
        <f t="shared" si="103"/>
        <v>41735216.216964059</v>
      </c>
      <c r="AO85" s="224">
        <v>19238869.420000002</v>
      </c>
      <c r="AP85" s="180"/>
      <c r="AQ85" s="186"/>
    </row>
    <row r="86" spans="1:43" s="99" customFormat="1" x14ac:dyDescent="0.25">
      <c r="A86" s="17" t="s">
        <v>260</v>
      </c>
      <c r="B86" s="27"/>
      <c r="C86" s="89">
        <v>3752773.55</v>
      </c>
      <c r="D86" s="29"/>
      <c r="E86" s="29"/>
      <c r="F86" s="29">
        <v>0</v>
      </c>
      <c r="G86" s="29">
        <v>5192798.7699999996</v>
      </c>
      <c r="H86" s="29">
        <v>2767121.06</v>
      </c>
      <c r="I86" s="29">
        <v>4589819.04</v>
      </c>
      <c r="J86" s="29">
        <v>10329748.33</v>
      </c>
      <c r="K86" s="29">
        <v>17745437</v>
      </c>
      <c r="L86" s="152">
        <v>1898459.6300000001</v>
      </c>
      <c r="M86" s="152">
        <v>1896887.01</v>
      </c>
      <c r="N86" s="152">
        <v>1882356.28</v>
      </c>
      <c r="O86" s="152">
        <v>1890409.76</v>
      </c>
      <c r="P86" s="152">
        <v>1880782.92</v>
      </c>
      <c r="Q86" s="152"/>
      <c r="R86" s="152"/>
      <c r="S86" s="152"/>
      <c r="T86" s="152"/>
      <c r="U86" s="152"/>
      <c r="V86" s="152"/>
      <c r="W86" s="152"/>
      <c r="X86" s="127">
        <f t="shared" ref="X86" si="108">SUM(L86:W86)</f>
        <v>9448895.5999999996</v>
      </c>
      <c r="Y86" s="89">
        <f t="shared" si="99"/>
        <v>312731.12916666665</v>
      </c>
      <c r="Z86" s="29">
        <f t="shared" si="99"/>
        <v>0</v>
      </c>
      <c r="AA86" s="29">
        <f t="shared" si="99"/>
        <v>0</v>
      </c>
      <c r="AB86" s="29">
        <f t="shared" si="100"/>
        <v>0</v>
      </c>
      <c r="AC86" s="29">
        <f t="shared" si="100"/>
        <v>432733.23083333328</v>
      </c>
      <c r="AD86" s="29">
        <f>H86/12</f>
        <v>230593.42166666666</v>
      </c>
      <c r="AE86" s="29">
        <f t="shared" si="93"/>
        <v>382484.92</v>
      </c>
      <c r="AF86" s="29">
        <f t="shared" si="94"/>
        <v>860812.36083333334</v>
      </c>
      <c r="AG86" s="28">
        <f>$AG$6*C86</f>
        <v>5255189.2860191995</v>
      </c>
      <c r="AH86" s="29">
        <f>$AH$6*D86</f>
        <v>0</v>
      </c>
      <c r="AI86" s="29">
        <f>$AI$6*E86</f>
        <v>0</v>
      </c>
      <c r="AJ86" s="29">
        <f>$AJ$6*$F86</f>
        <v>0</v>
      </c>
      <c r="AK86" s="29">
        <f>$AK$6*G86</f>
        <v>6198626.0920730112</v>
      </c>
      <c r="AL86" s="29">
        <f t="shared" si="101"/>
        <v>3150897.2753492529</v>
      </c>
      <c r="AM86" s="215">
        <f t="shared" si="102"/>
        <v>5082622.1226831805</v>
      </c>
      <c r="AN86" s="215">
        <f t="shared" si="103"/>
        <v>10143872.070767175</v>
      </c>
      <c r="AO86" s="240">
        <v>17745437</v>
      </c>
      <c r="AP86" s="183"/>
      <c r="AQ86" s="186"/>
    </row>
    <row r="87" spans="1:43" s="99" customFormat="1" x14ac:dyDescent="0.25">
      <c r="A87" s="17" t="s">
        <v>271</v>
      </c>
      <c r="B87" s="27"/>
      <c r="C87" s="89"/>
      <c r="D87" s="29"/>
      <c r="E87" s="29"/>
      <c r="F87" s="29"/>
      <c r="G87" s="29"/>
      <c r="H87" s="29">
        <v>753595.45</v>
      </c>
      <c r="I87" s="29">
        <v>14217180.02</v>
      </c>
      <c r="J87" s="29">
        <v>1567688.1</v>
      </c>
      <c r="K87" s="29">
        <v>1493432.4200000002</v>
      </c>
      <c r="L87" s="152"/>
      <c r="M87" s="152"/>
      <c r="N87" s="152"/>
      <c r="O87" s="152">
        <v>29416791.309999999</v>
      </c>
      <c r="P87" s="152">
        <v>10168.200000000001</v>
      </c>
      <c r="Q87" s="152"/>
      <c r="R87" s="152"/>
      <c r="S87" s="152"/>
      <c r="T87" s="152"/>
      <c r="U87" s="152"/>
      <c r="V87" s="152"/>
      <c r="W87" s="152"/>
      <c r="X87" s="127">
        <f t="shared" si="89"/>
        <v>29426959.509999998</v>
      </c>
      <c r="Y87" s="89"/>
      <c r="Z87" s="29"/>
      <c r="AA87" s="29"/>
      <c r="AB87" s="29"/>
      <c r="AC87" s="29"/>
      <c r="AD87" s="29">
        <f>H87/12</f>
        <v>62799.620833333327</v>
      </c>
      <c r="AE87" s="29">
        <f t="shared" si="93"/>
        <v>1184765.0016666667</v>
      </c>
      <c r="AF87" s="29">
        <f t="shared" si="94"/>
        <v>130640.675</v>
      </c>
      <c r="AG87" s="28"/>
      <c r="AH87" s="29"/>
      <c r="AI87" s="29"/>
      <c r="AJ87" s="29"/>
      <c r="AK87" s="29"/>
      <c r="AL87" s="29">
        <f t="shared" si="101"/>
        <v>858112.74556979234</v>
      </c>
      <c r="AM87" s="215">
        <f t="shared" si="102"/>
        <v>15743660.711255688</v>
      </c>
      <c r="AN87" s="215">
        <f t="shared" si="103"/>
        <v>31591344.146196883</v>
      </c>
      <c r="AO87" s="240">
        <v>1493432.4200000002</v>
      </c>
      <c r="AP87" s="183"/>
      <c r="AQ87" s="3"/>
    </row>
    <row r="88" spans="1:43" ht="17.25" x14ac:dyDescent="0.4">
      <c r="A88" s="94" t="s">
        <v>247</v>
      </c>
      <c r="B88" s="96"/>
      <c r="C88" s="97">
        <f t="shared" ref="C88:E88" si="109">SUM(C89)</f>
        <v>346276384.89999998</v>
      </c>
      <c r="D88" s="98">
        <f t="shared" si="109"/>
        <v>178768483.81999999</v>
      </c>
      <c r="E88" s="98">
        <f t="shared" si="109"/>
        <v>266975293.37</v>
      </c>
      <c r="F88" s="98">
        <v>349711059.56999999</v>
      </c>
      <c r="G88" s="98">
        <v>352770330.45999998</v>
      </c>
      <c r="H88" s="98">
        <v>291770966.22000003</v>
      </c>
      <c r="I88" s="98">
        <v>164496936.22</v>
      </c>
      <c r="J88" s="98">
        <v>0</v>
      </c>
      <c r="K88" s="98">
        <v>0</v>
      </c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28">
        <f t="shared" si="89"/>
        <v>0</v>
      </c>
      <c r="Y88" s="97">
        <f t="shared" ref="Y88:AA89" si="110">+C88/12</f>
        <v>28856365.408333331</v>
      </c>
      <c r="Z88" s="98">
        <f t="shared" si="110"/>
        <v>14897373.651666665</v>
      </c>
      <c r="AA88" s="98">
        <f t="shared" si="110"/>
        <v>22247941.114166666</v>
      </c>
      <c r="AB88" s="98">
        <f>F88/12</f>
        <v>29142588.297499999</v>
      </c>
      <c r="AC88" s="98">
        <f>G88/12</f>
        <v>29397527.53833333</v>
      </c>
      <c r="AD88" s="98">
        <f>H88/12</f>
        <v>24314247.185000002</v>
      </c>
      <c r="AE88" s="98">
        <f t="shared" si="93"/>
        <v>13708078.018333333</v>
      </c>
      <c r="AF88" s="98">
        <f t="shared" si="94"/>
        <v>0</v>
      </c>
      <c r="AG88" s="161">
        <f>$AG$6*C88</f>
        <v>484907475.41320223</v>
      </c>
      <c r="AH88" s="98">
        <f>$AH$6*D88</f>
        <v>240523209.46932238</v>
      </c>
      <c r="AI88" s="98">
        <f>$AI$6*E88</f>
        <v>351706413.71188736</v>
      </c>
      <c r="AJ88" s="98">
        <f>$AJ$6*$F88</f>
        <v>445722917.50616622</v>
      </c>
      <c r="AK88" s="98">
        <f>$AK$6*G88</f>
        <v>421100734.25752538</v>
      </c>
      <c r="AL88" s="98">
        <f t="shared" si="101"/>
        <v>332237123.91123831</v>
      </c>
      <c r="AM88" s="223">
        <f t="shared" si="102"/>
        <v>182158764.83561236</v>
      </c>
      <c r="AN88" s="223">
        <f t="shared" si="103"/>
        <v>0</v>
      </c>
      <c r="AO88" s="238">
        <v>0</v>
      </c>
      <c r="AP88" s="180"/>
      <c r="AQ88" s="186"/>
    </row>
    <row r="89" spans="1:43" s="99" customFormat="1" x14ac:dyDescent="0.25">
      <c r="A89" s="17" t="s">
        <v>58</v>
      </c>
      <c r="B89" s="27"/>
      <c r="C89" s="89">
        <v>346276384.89999998</v>
      </c>
      <c r="D89" s="29">
        <v>178768483.81999999</v>
      </c>
      <c r="E89" s="29">
        <v>266975293.37</v>
      </c>
      <c r="F89" s="29">
        <v>349711059.56999999</v>
      </c>
      <c r="G89" s="29">
        <v>352770330.45999998</v>
      </c>
      <c r="H89" s="29">
        <v>291770966.22000003</v>
      </c>
      <c r="I89" s="29">
        <v>164496936.22</v>
      </c>
      <c r="J89" s="29">
        <v>0</v>
      </c>
      <c r="K89" s="29">
        <v>0</v>
      </c>
      <c r="L89" s="152"/>
      <c r="M89" s="152"/>
      <c r="N89" s="152">
        <v>0</v>
      </c>
      <c r="O89" s="152"/>
      <c r="P89" s="152"/>
      <c r="Q89" s="152"/>
      <c r="R89" s="152"/>
      <c r="S89" s="152"/>
      <c r="T89" s="152"/>
      <c r="U89" s="152"/>
      <c r="V89" s="152"/>
      <c r="W89" s="152"/>
      <c r="X89" s="127">
        <f t="shared" si="89"/>
        <v>0</v>
      </c>
      <c r="Y89" s="89">
        <f t="shared" si="110"/>
        <v>28856365.408333331</v>
      </c>
      <c r="Z89" s="29">
        <f t="shared" si="110"/>
        <v>14897373.651666665</v>
      </c>
      <c r="AA89" s="29">
        <f t="shared" si="110"/>
        <v>22247941.114166666</v>
      </c>
      <c r="AB89" s="29">
        <f>F89/12</f>
        <v>29142588.297499999</v>
      </c>
      <c r="AC89" s="29">
        <f>G89/12</f>
        <v>29397527.53833333</v>
      </c>
      <c r="AD89" s="29">
        <f>H89/12</f>
        <v>24314247.185000002</v>
      </c>
      <c r="AE89" s="29">
        <f t="shared" si="93"/>
        <v>13708078.018333333</v>
      </c>
      <c r="AF89" s="29">
        <f t="shared" si="94"/>
        <v>0</v>
      </c>
      <c r="AG89" s="28">
        <f>$AG$6*C89</f>
        <v>484907475.41320223</v>
      </c>
      <c r="AH89" s="29">
        <f>$AH$6*D89</f>
        <v>240523209.46932238</v>
      </c>
      <c r="AI89" s="29">
        <f>$AI$6*E89</f>
        <v>351706413.71188736</v>
      </c>
      <c r="AJ89" s="29">
        <f>$AJ$6*$F89</f>
        <v>445722917.50616622</v>
      </c>
      <c r="AK89" s="29">
        <f>$AK$6*G89</f>
        <v>421100734.25752538</v>
      </c>
      <c r="AL89" s="29">
        <f t="shared" si="101"/>
        <v>332237123.91123831</v>
      </c>
      <c r="AM89" s="215">
        <f t="shared" si="102"/>
        <v>182158764.83561236</v>
      </c>
      <c r="AN89" s="241">
        <f t="shared" si="103"/>
        <v>0</v>
      </c>
      <c r="AO89" s="228">
        <v>0</v>
      </c>
      <c r="AP89" s="183"/>
      <c r="AQ89" s="3"/>
    </row>
    <row r="90" spans="1:43" x14ac:dyDescent="0.25">
      <c r="B90" s="27"/>
      <c r="C90" s="89"/>
      <c r="D90" s="29"/>
      <c r="E90" s="29"/>
      <c r="F90" s="29"/>
      <c r="G90" s="29">
        <v>0</v>
      </c>
      <c r="H90" s="29">
        <v>0</v>
      </c>
      <c r="I90" s="29"/>
      <c r="J90" s="29">
        <v>0</v>
      </c>
      <c r="K90" s="29">
        <v>0</v>
      </c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27">
        <f t="shared" si="89"/>
        <v>0</v>
      </c>
      <c r="Y90" s="89"/>
      <c r="Z90" s="29"/>
      <c r="AA90" s="29"/>
      <c r="AB90" s="29"/>
      <c r="AC90" s="29"/>
      <c r="AD90" s="29"/>
      <c r="AE90" s="29">
        <f>+X90/$AE$5</f>
        <v>0</v>
      </c>
      <c r="AF90" s="29"/>
      <c r="AG90" s="28"/>
      <c r="AH90" s="29"/>
      <c r="AI90" s="29"/>
      <c r="AJ90" s="29"/>
      <c r="AK90" s="29">
        <f>$AK$6*G90</f>
        <v>0</v>
      </c>
      <c r="AL90" s="29">
        <f t="shared" si="101"/>
        <v>0</v>
      </c>
      <c r="AM90" s="215">
        <f t="shared" si="102"/>
        <v>0</v>
      </c>
      <c r="AN90" s="215">
        <f>$AM$6*L90</f>
        <v>0</v>
      </c>
      <c r="AO90" s="221">
        <v>0</v>
      </c>
      <c r="AP90" s="180"/>
    </row>
    <row r="91" spans="1:43" ht="15.75" thickBot="1" x14ac:dyDescent="0.3">
      <c r="A91" s="20" t="s">
        <v>59</v>
      </c>
      <c r="B91" s="31"/>
      <c r="C91" s="131">
        <f>SUM(C39:C89)-C39-C46-C55-C65-C75-C83-C85-C88</f>
        <v>1184996739.9700007</v>
      </c>
      <c r="D91" s="132">
        <f>SUM(D39:D89)-D39-D46-D55-D65-D75-D83-D85-D88</f>
        <v>1127633894.8800004</v>
      </c>
      <c r="E91" s="132">
        <f>SUM(E39:E89)-E39-E46-E55-E65-E75-E83-E85-E88</f>
        <v>1245635038.9699998</v>
      </c>
      <c r="F91" s="132">
        <f>SUM(F39:F89)-F39-F46-F55-F65-F75-F83-F85-F88</f>
        <v>1416607309.0800006</v>
      </c>
      <c r="G91" s="132">
        <v>1525927207.7800002</v>
      </c>
      <c r="H91" s="132">
        <v>1542010297.4199998</v>
      </c>
      <c r="I91" s="191">
        <v>1585812368.54</v>
      </c>
      <c r="J91" s="206">
        <v>708203003.45391738</v>
      </c>
      <c r="K91" s="206">
        <v>1544593780.2800004</v>
      </c>
      <c r="L91" s="175">
        <f>+L88+L85+L75+L65+L55+L46+L39+L79+L83</f>
        <v>116972327.79999998</v>
      </c>
      <c r="M91" s="175">
        <f>+M88+M85+M75+M65+M55+M46+M39+M79+M83</f>
        <v>141557230.72</v>
      </c>
      <c r="N91" s="175">
        <f t="shared" ref="N91:W91" si="111">+N88+N85+N75+N65+N55+N46+N39+N79+N83</f>
        <v>168056190.59999996</v>
      </c>
      <c r="O91" s="175">
        <f t="shared" si="111"/>
        <v>183478992.26999998</v>
      </c>
      <c r="P91" s="175">
        <f t="shared" si="111"/>
        <v>158680469.06</v>
      </c>
      <c r="Q91" s="175">
        <f t="shared" si="111"/>
        <v>170948009.26999998</v>
      </c>
      <c r="R91" s="175">
        <f t="shared" si="111"/>
        <v>0</v>
      </c>
      <c r="S91" s="175">
        <f t="shared" si="111"/>
        <v>0</v>
      </c>
      <c r="T91" s="175">
        <f>+T88+T85+T75+T65+T55+T46+T39+T79+T83</f>
        <v>0</v>
      </c>
      <c r="U91" s="175">
        <f t="shared" si="111"/>
        <v>0</v>
      </c>
      <c r="V91" s="175">
        <f t="shared" si="111"/>
        <v>0</v>
      </c>
      <c r="W91" s="175">
        <f t="shared" si="111"/>
        <v>0</v>
      </c>
      <c r="X91" s="173">
        <f>SUM(L91:W91)</f>
        <v>939693219.71999979</v>
      </c>
      <c r="Y91" s="131">
        <f>+C91/12</f>
        <v>98749728.33083339</v>
      </c>
      <c r="Z91" s="132">
        <f>+D91/12</f>
        <v>93969491.240000024</v>
      </c>
      <c r="AA91" s="132">
        <f>+E91/12</f>
        <v>103802919.91416664</v>
      </c>
      <c r="AB91" s="132">
        <f>F91/12</f>
        <v>118050609.09000005</v>
      </c>
      <c r="AC91" s="132">
        <f>G91/12</f>
        <v>127160600.64833336</v>
      </c>
      <c r="AD91" s="132">
        <f>H91/12</f>
        <v>128500858.11833332</v>
      </c>
      <c r="AE91" s="132">
        <f>I91/12</f>
        <v>132151030.71166666</v>
      </c>
      <c r="AF91" s="132">
        <f>J91/12</f>
        <v>59016916.954493113</v>
      </c>
      <c r="AG91" s="163">
        <f>$AG$6*C91</f>
        <v>1659407925.6015935</v>
      </c>
      <c r="AH91" s="132">
        <f>$AH$6*D91</f>
        <v>1517169680.6245821</v>
      </c>
      <c r="AI91" s="132">
        <f>$AI$6*E91</f>
        <v>1640967697.1226232</v>
      </c>
      <c r="AJ91" s="132">
        <f>$AJ$6*$F91</f>
        <v>1805531525.1970465</v>
      </c>
      <c r="AK91" s="132">
        <f>$AK$6*G91</f>
        <v>1821494077.4123673</v>
      </c>
      <c r="AL91" s="132">
        <f t="shared" si="101"/>
        <v>1755874043.5812984</v>
      </c>
      <c r="AM91" s="226">
        <f t="shared" si="102"/>
        <v>1756079042.8822694</v>
      </c>
      <c r="AN91" s="242">
        <f>$AM$6*X91</f>
        <v>1040586895.792793</v>
      </c>
      <c r="AO91" s="243">
        <v>1544593780.2800004</v>
      </c>
      <c r="AP91" s="180"/>
    </row>
    <row r="92" spans="1:43" x14ac:dyDescent="0.25">
      <c r="B92" s="27"/>
      <c r="C92" s="89"/>
      <c r="D92" s="29"/>
      <c r="E92" s="29"/>
      <c r="F92" s="29"/>
      <c r="G92" s="29">
        <v>0</v>
      </c>
      <c r="H92" s="29">
        <v>0</v>
      </c>
      <c r="I92" s="29"/>
      <c r="J92" s="29">
        <v>0</v>
      </c>
      <c r="K92" s="29">
        <v>0</v>
      </c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27">
        <f t="shared" si="89"/>
        <v>0</v>
      </c>
      <c r="Y92" s="89"/>
      <c r="Z92" s="29"/>
      <c r="AA92" s="29"/>
      <c r="AB92" s="29"/>
      <c r="AC92" s="29"/>
      <c r="AD92" s="29"/>
      <c r="AE92" s="29">
        <f>+X92/$AE$5</f>
        <v>0</v>
      </c>
      <c r="AF92" s="29"/>
      <c r="AG92" s="28"/>
      <c r="AH92" s="29"/>
      <c r="AI92" s="29"/>
      <c r="AJ92" s="29">
        <f>$AJ$6*$F92</f>
        <v>0</v>
      </c>
      <c r="AK92" s="29"/>
      <c r="AL92" s="29">
        <f t="shared" si="101"/>
        <v>0</v>
      </c>
      <c r="AM92" s="215">
        <f>$AM$6*X92</f>
        <v>0</v>
      </c>
      <c r="AN92" s="215">
        <f>$AM$6*Y92</f>
        <v>0</v>
      </c>
      <c r="AO92" s="221">
        <v>0</v>
      </c>
      <c r="AP92" s="180"/>
    </row>
    <row r="93" spans="1:43" ht="15.75" thickBot="1" x14ac:dyDescent="0.3">
      <c r="A93" s="142" t="s">
        <v>231</v>
      </c>
      <c r="B93" s="143"/>
      <c r="C93" s="133">
        <f>+C35-C91</f>
        <v>40070393.929999113</v>
      </c>
      <c r="D93" s="134">
        <f>+D35-D91</f>
        <v>86958406.659999609</v>
      </c>
      <c r="E93" s="134">
        <f>+E35-E91</f>
        <v>-1326978.0699999332</v>
      </c>
      <c r="F93" s="134">
        <f>+F35-F91</f>
        <v>116979580.29999948</v>
      </c>
      <c r="G93" s="134">
        <v>96023888.079999685</v>
      </c>
      <c r="H93" s="134">
        <v>-1538012.370000124</v>
      </c>
      <c r="I93" s="134">
        <v>38886704.730000019</v>
      </c>
      <c r="J93" s="134">
        <v>223651442.40999997</v>
      </c>
      <c r="K93" s="134">
        <v>196689556.96999973</v>
      </c>
      <c r="L93" s="134">
        <f>+L35-L91</f>
        <v>76101467.530000031</v>
      </c>
      <c r="M93" s="134">
        <f t="shared" ref="M93:W93" si="112">+M35-M91</f>
        <v>74291796.590000004</v>
      </c>
      <c r="N93" s="175">
        <f t="shared" si="112"/>
        <v>6629993.030000031</v>
      </c>
      <c r="O93" s="175">
        <f t="shared" si="112"/>
        <v>-2984192.6799999475</v>
      </c>
      <c r="P93" s="175">
        <f t="shared" si="112"/>
        <v>-20086046.930000007</v>
      </c>
      <c r="Q93" s="175">
        <f t="shared" si="112"/>
        <v>-35972355.329999983</v>
      </c>
      <c r="R93" s="175">
        <f t="shared" si="112"/>
        <v>0</v>
      </c>
      <c r="S93" s="175">
        <f t="shared" si="112"/>
        <v>0</v>
      </c>
      <c r="T93" s="175">
        <f t="shared" si="112"/>
        <v>0</v>
      </c>
      <c r="U93" s="175">
        <f t="shared" si="112"/>
        <v>0</v>
      </c>
      <c r="V93" s="175">
        <f t="shared" si="112"/>
        <v>0</v>
      </c>
      <c r="W93" s="175">
        <f t="shared" si="112"/>
        <v>0</v>
      </c>
      <c r="X93" s="144">
        <f>SUM(L93:W93)</f>
        <v>97980662.210000128</v>
      </c>
      <c r="Y93" s="133">
        <f>+C93/12</f>
        <v>3339199.4941665926</v>
      </c>
      <c r="Z93" s="134">
        <f>+D93/12</f>
        <v>7246533.8883333011</v>
      </c>
      <c r="AA93" s="134">
        <f>+E93/12</f>
        <v>-110581.50583332777</v>
      </c>
      <c r="AB93" s="134">
        <f>F93/12</f>
        <v>9748298.3583332896</v>
      </c>
      <c r="AC93" s="134">
        <f>G93/12</f>
        <v>8001990.6733333068</v>
      </c>
      <c r="AD93" s="134">
        <f>H93/12</f>
        <v>-128167.69750001033</v>
      </c>
      <c r="AE93" s="134">
        <f>I93/12</f>
        <v>3240558.7275000014</v>
      </c>
      <c r="AF93" s="134">
        <f>J93/12</f>
        <v>18637620.200833332</v>
      </c>
      <c r="AG93" s="164">
        <f>$AG$6*C93</f>
        <v>56112499.745021954</v>
      </c>
      <c r="AH93" s="134">
        <f>$AH$6*D93</f>
        <v>116997776.19225772</v>
      </c>
      <c r="AI93" s="134">
        <f>$AI$6*E93</f>
        <v>-1748126.9228429741</v>
      </c>
      <c r="AJ93" s="134">
        <f>$AJ$6*$F93</f>
        <v>149095884.71143535</v>
      </c>
      <c r="AK93" s="134">
        <f>$AK$6*G93</f>
        <v>114623386.05410367</v>
      </c>
      <c r="AL93" s="134">
        <f t="shared" si="101"/>
        <v>-1751321.6375458606</v>
      </c>
      <c r="AM93" s="244">
        <f>$AM$6*I93</f>
        <v>43061921.181743748</v>
      </c>
      <c r="AN93" s="175">
        <f>$AN$6*X93</f>
        <v>105187245.67845719</v>
      </c>
      <c r="AO93" s="243">
        <v>196689556.96999973</v>
      </c>
      <c r="AP93" s="180"/>
    </row>
    <row r="94" spans="1:43" s="116" customFormat="1" ht="15.75" thickBot="1" x14ac:dyDescent="0.3">
      <c r="A94" s="140"/>
      <c r="B94" s="141"/>
      <c r="C94" s="90"/>
      <c r="D94" s="25"/>
      <c r="E94" s="25"/>
      <c r="F94" s="25"/>
      <c r="G94" s="25"/>
      <c r="H94" s="25"/>
      <c r="I94" s="25"/>
      <c r="J94" s="25"/>
      <c r="K94" s="25"/>
      <c r="L94" s="15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129"/>
      <c r="Y94" s="259" t="s">
        <v>232</v>
      </c>
      <c r="Z94" s="260"/>
      <c r="AA94" s="260"/>
      <c r="AB94" s="260"/>
      <c r="AC94" s="260"/>
      <c r="AD94" s="264"/>
      <c r="AE94" s="172"/>
      <c r="AF94" s="204"/>
      <c r="AG94" s="259" t="s">
        <v>272</v>
      </c>
      <c r="AH94" s="260"/>
      <c r="AI94" s="260"/>
      <c r="AJ94" s="260"/>
      <c r="AK94" s="260"/>
      <c r="AL94" s="260"/>
      <c r="AM94" s="260"/>
      <c r="AN94" s="245"/>
      <c r="AO94" s="246"/>
      <c r="AP94" s="181"/>
      <c r="AQ94" s="3"/>
    </row>
    <row r="95" spans="1:43" x14ac:dyDescent="0.25">
      <c r="L95" s="2">
        <f t="shared" ref="L95:R95" si="113">L8+L14+L17+L20+L25+L29</f>
        <v>193073795.33000001</v>
      </c>
      <c r="M95" s="2">
        <f t="shared" si="113"/>
        <v>215849027.31</v>
      </c>
      <c r="N95" s="2">
        <f t="shared" si="113"/>
        <v>174686183.63</v>
      </c>
      <c r="O95" s="2">
        <f t="shared" si="113"/>
        <v>180494799.59</v>
      </c>
      <c r="P95" s="2">
        <f t="shared" si="113"/>
        <v>138594422.13</v>
      </c>
      <c r="Q95" s="2">
        <f t="shared" si="113"/>
        <v>134975653.94</v>
      </c>
      <c r="R95" s="2">
        <f t="shared" si="113"/>
        <v>0</v>
      </c>
      <c r="S95" s="2">
        <f t="shared" ref="S95:X95" si="114">S8+S14+S17+S20+S25+S29+S31</f>
        <v>0</v>
      </c>
      <c r="T95" s="2">
        <f t="shared" si="114"/>
        <v>0</v>
      </c>
      <c r="U95" s="2">
        <f t="shared" si="114"/>
        <v>0</v>
      </c>
      <c r="V95" s="2">
        <f t="shared" si="114"/>
        <v>0</v>
      </c>
      <c r="W95" s="2">
        <f t="shared" si="114"/>
        <v>0</v>
      </c>
      <c r="X95" s="2">
        <f t="shared" si="114"/>
        <v>1037673881.9300001</v>
      </c>
    </row>
    <row r="96" spans="1:43" x14ac:dyDescent="0.25">
      <c r="L96" s="2">
        <f t="shared" ref="L96:Q96" si="115">L39+L46+L55+L65+L75+L77+L79+L85+L88+L83</f>
        <v>116972327.8</v>
      </c>
      <c r="M96" s="2">
        <f t="shared" si="115"/>
        <v>141557230.72</v>
      </c>
      <c r="N96" s="2">
        <f t="shared" si="115"/>
        <v>168056190.59999999</v>
      </c>
      <c r="O96" s="2">
        <f t="shared" si="115"/>
        <v>183478992.26999998</v>
      </c>
      <c r="P96" s="2">
        <f t="shared" si="115"/>
        <v>158680469.06</v>
      </c>
      <c r="Q96" s="2">
        <f t="shared" si="115"/>
        <v>170948009.27000001</v>
      </c>
      <c r="R96" s="2">
        <f t="shared" ref="R96:V96" si="116">R39+R46+R55+R65+R75+R77+R79+R85+R88</f>
        <v>0</v>
      </c>
      <c r="S96" s="2">
        <f>S39+S46+S55+S65+S75+S77+S79+S85+S88+S83</f>
        <v>0</v>
      </c>
      <c r="T96" s="2">
        <f>T39+T46+T55+T65+T75+T77+T79+T85+T88+T83</f>
        <v>0</v>
      </c>
      <c r="U96" s="2">
        <f>U39+U46+U55+U65+U75+U77+U79+U85+U88+U83</f>
        <v>0</v>
      </c>
      <c r="V96" s="2">
        <f t="shared" si="116"/>
        <v>0</v>
      </c>
      <c r="W96" s="2">
        <f>W39+W46+W55+W65+W75+W77+W79+W85+W88+W83</f>
        <v>0</v>
      </c>
      <c r="X96" s="2">
        <f>X39+X46+X55+X65+X75+X77+X79+X85+X88+X83</f>
        <v>939693219.71999991</v>
      </c>
    </row>
    <row r="97" spans="12:24" x14ac:dyDescent="0.25">
      <c r="L97" s="2">
        <f>+L95-L96</f>
        <v>76101467.530000016</v>
      </c>
      <c r="M97" s="2">
        <f>+M95-M96</f>
        <v>74291796.590000004</v>
      </c>
      <c r="N97" s="2">
        <f>+N95-N96</f>
        <v>6629993.0300000012</v>
      </c>
      <c r="O97" s="2">
        <f t="shared" ref="O97:S97" si="117">+O95-O96</f>
        <v>-2984192.6799999774</v>
      </c>
      <c r="P97" s="2">
        <f t="shared" si="117"/>
        <v>-20086046.930000007</v>
      </c>
      <c r="Q97" s="2">
        <f t="shared" si="117"/>
        <v>-35972355.330000013</v>
      </c>
      <c r="R97" s="2">
        <f t="shared" si="117"/>
        <v>0</v>
      </c>
      <c r="S97" s="2">
        <f t="shared" si="117"/>
        <v>0</v>
      </c>
      <c r="T97" s="2">
        <f t="shared" ref="T97" si="118">+T95-T96</f>
        <v>0</v>
      </c>
      <c r="U97" s="2">
        <f t="shared" ref="U97:W97" si="119">+U95-U96</f>
        <v>0</v>
      </c>
      <c r="V97" s="2">
        <f>+V95-V96</f>
        <v>0</v>
      </c>
      <c r="W97" s="2">
        <f t="shared" si="119"/>
        <v>0</v>
      </c>
      <c r="X97" s="2">
        <f>+X95-X96</f>
        <v>97980662.210000157</v>
      </c>
    </row>
    <row r="98" spans="12:24" x14ac:dyDescent="0.25">
      <c r="L98" s="2">
        <f t="shared" ref="L98:R98" si="120">+L93-L97</f>
        <v>0</v>
      </c>
      <c r="N98" s="2">
        <f t="shared" si="120"/>
        <v>2.9802322387695313E-8</v>
      </c>
      <c r="O98" s="2">
        <f t="shared" si="120"/>
        <v>2.9802322387695313E-8</v>
      </c>
      <c r="P98" s="2">
        <f t="shared" si="120"/>
        <v>0</v>
      </c>
      <c r="Q98" s="2">
        <f t="shared" si="120"/>
        <v>0</v>
      </c>
      <c r="R98" s="2">
        <f t="shared" si="120"/>
        <v>0</v>
      </c>
      <c r="S98" s="2">
        <f t="shared" ref="S98:W98" si="121">+S93-S97</f>
        <v>0</v>
      </c>
      <c r="T98" s="2">
        <f t="shared" si="121"/>
        <v>0</v>
      </c>
      <c r="U98" s="2">
        <f t="shared" si="121"/>
        <v>0</v>
      </c>
      <c r="V98" s="2">
        <f>+V93-V97</f>
        <v>0</v>
      </c>
      <c r="W98" s="2">
        <f t="shared" si="121"/>
        <v>0</v>
      </c>
      <c r="X98" s="2">
        <f>+X93-X97</f>
        <v>0</v>
      </c>
    </row>
    <row r="99" spans="12:24" x14ac:dyDescent="0.25">
      <c r="S99" s="2">
        <f>+S91-S96</f>
        <v>0</v>
      </c>
      <c r="T99" s="2">
        <f>+T97-T93</f>
        <v>0</v>
      </c>
    </row>
    <row r="101" spans="12:24" x14ac:dyDescent="0.25">
      <c r="W101" s="2">
        <f>X97+U97</f>
        <v>97980662.210000157</v>
      </c>
    </row>
    <row r="124" spans="1:11" x14ac:dyDescent="0.25">
      <c r="A124" s="174" t="s">
        <v>7</v>
      </c>
      <c r="B124" s="101"/>
      <c r="C124" s="102"/>
      <c r="D124" s="103"/>
      <c r="E124" s="103"/>
      <c r="F124" s="103"/>
      <c r="G124" s="103"/>
      <c r="H124" s="103"/>
      <c r="I124" s="103"/>
      <c r="J124" s="103"/>
      <c r="K124" s="103"/>
    </row>
    <row r="125" spans="1:11" ht="15.75" thickBot="1" x14ac:dyDescent="0.3">
      <c r="A125" s="24">
        <v>2013</v>
      </c>
      <c r="C125" s="102">
        <v>132106640.62</v>
      </c>
    </row>
    <row r="126" spans="1:11" ht="15.75" thickBot="1" x14ac:dyDescent="0.3">
      <c r="A126" s="88">
        <v>2014</v>
      </c>
      <c r="C126" s="103">
        <v>182265896.77000001</v>
      </c>
    </row>
    <row r="127" spans="1:11" ht="15.75" thickBot="1" x14ac:dyDescent="0.3">
      <c r="A127" s="88">
        <v>2015</v>
      </c>
      <c r="C127" s="103">
        <v>211854820.74000001</v>
      </c>
    </row>
    <row r="128" spans="1:11" ht="15.75" thickBot="1" x14ac:dyDescent="0.3">
      <c r="A128" s="88">
        <v>2016</v>
      </c>
      <c r="C128" s="103">
        <v>227038704.90000001</v>
      </c>
    </row>
    <row r="129" spans="1:3" ht="15.75" thickBot="1" x14ac:dyDescent="0.3">
      <c r="A129" s="88">
        <v>2017</v>
      </c>
      <c r="C129" s="103">
        <v>208627180.25</v>
      </c>
    </row>
    <row r="130" spans="1:3" ht="15.75" thickBot="1" x14ac:dyDescent="0.3">
      <c r="A130" s="88">
        <v>2018</v>
      </c>
      <c r="C130" s="103">
        <v>212561332.78999999</v>
      </c>
    </row>
    <row r="131" spans="1:3" ht="15.75" thickBot="1" x14ac:dyDescent="0.3">
      <c r="A131" s="88" t="s">
        <v>274</v>
      </c>
      <c r="C131" s="103">
        <v>117440137.47</v>
      </c>
    </row>
  </sheetData>
  <mergeCells count="6">
    <mergeCell ref="L3:W3"/>
    <mergeCell ref="C3:H3"/>
    <mergeCell ref="AG3:AM3"/>
    <mergeCell ref="AG94:AM94"/>
    <mergeCell ref="Y3:AD3"/>
    <mergeCell ref="Y94:AD94"/>
  </mergeCells>
  <pageMargins left="0.7" right="0.7" top="0.75" bottom="0.75" header="0.3" footer="0.3"/>
  <pageSetup orientation="portrait" r:id="rId1"/>
  <ignoredErrors>
    <ignoredError sqref="F8 X8:X9 F20 X14 X19:X20 X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2022-08-15T16:02:47Z</dcterms:modified>
</cp:coreProperties>
</file>