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13_ncr:1_{8C4BBE41-3613-4DD8-AC1B-5BA58FAFA40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3" i="1" l="1"/>
  <c r="P91" i="1"/>
  <c r="P88" i="1"/>
  <c r="P85" i="1"/>
  <c r="P79" i="1"/>
  <c r="P75" i="1"/>
  <c r="P65" i="1"/>
  <c r="P55" i="1"/>
  <c r="P46" i="1"/>
  <c r="P39" i="1"/>
  <c r="P35" i="1"/>
  <c r="P25" i="1"/>
  <c r="P20" i="1"/>
  <c r="P17" i="1"/>
  <c r="P14" i="1"/>
  <c r="P8" i="1"/>
  <c r="O93" i="1"/>
  <c r="O91" i="1"/>
  <c r="O88" i="1"/>
  <c r="O85" i="1"/>
  <c r="O79" i="1"/>
  <c r="O75" i="1"/>
  <c r="O65" i="1"/>
  <c r="O55" i="1"/>
  <c r="O46" i="1"/>
  <c r="O39" i="1"/>
  <c r="O35" i="1"/>
  <c r="O25" i="1"/>
  <c r="O20" i="1"/>
  <c r="O17" i="1"/>
  <c r="O14" i="1"/>
  <c r="O8" i="1"/>
  <c r="N88" i="1"/>
  <c r="N85" i="1"/>
  <c r="N79" i="1"/>
  <c r="N75" i="1"/>
  <c r="N65" i="1"/>
  <c r="N55" i="1"/>
  <c r="N46" i="1"/>
  <c r="N39" i="1"/>
  <c r="N25" i="1"/>
  <c r="N20" i="1"/>
  <c r="N35" i="1" s="1"/>
  <c r="N17" i="1"/>
  <c r="N14" i="1"/>
  <c r="N8" i="1"/>
  <c r="N91" i="1" l="1"/>
  <c r="N93" i="1" s="1"/>
  <c r="M39" i="1" l="1"/>
  <c r="M88" i="1"/>
  <c r="M85" i="1"/>
  <c r="M83" i="1"/>
  <c r="M79" i="1"/>
  <c r="M75" i="1"/>
  <c r="M65" i="1"/>
  <c r="M55" i="1"/>
  <c r="M46" i="1"/>
  <c r="M8" i="1"/>
  <c r="M25" i="1"/>
  <c r="M20" i="1"/>
  <c r="M17" i="1"/>
  <c r="M14" i="1"/>
  <c r="Y67" i="1"/>
  <c r="Y87" i="1"/>
  <c r="Y108" i="1" s="1"/>
  <c r="Y86" i="1"/>
  <c r="M91" i="1" l="1"/>
  <c r="M35" i="1"/>
  <c r="Y74" i="1"/>
  <c r="AD6" i="1"/>
  <c r="AC6" i="1"/>
  <c r="AB6" i="1"/>
  <c r="AA6" i="1"/>
  <c r="Z6" i="1"/>
  <c r="AE6" i="1"/>
  <c r="AF6" i="1"/>
  <c r="AG6" i="1"/>
  <c r="M93" i="1" l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Y72" i="1"/>
  <c r="AG72" i="1" s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Y33" i="1"/>
  <c r="AG33" i="1" s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Y66" i="1"/>
  <c r="AG66" i="1" s="1"/>
  <c r="Y24" i="1"/>
  <c r="Y30" i="1" l="1"/>
  <c r="AG30" i="1" s="1"/>
  <c r="Y53" i="1" l="1"/>
  <c r="AG53" i="1" s="1"/>
  <c r="Y32" i="1"/>
  <c r="AG32" i="1" s="1"/>
  <c r="Y90" i="1" l="1"/>
  <c r="AG87" i="1"/>
  <c r="Y82" i="1"/>
  <c r="AG82" i="1" s="1"/>
  <c r="Y81" i="1"/>
  <c r="AG81" i="1" s="1"/>
  <c r="H29" i="1"/>
  <c r="G29" i="1"/>
  <c r="F29" i="1"/>
  <c r="E29" i="1"/>
  <c r="D29" i="1"/>
  <c r="Y80" i="1" l="1"/>
  <c r="AG80" i="1" s="1"/>
  <c r="Y78" i="1"/>
  <c r="AG78" i="1" s="1"/>
  <c r="Y79" i="1" l="1"/>
  <c r="AG79" i="1" s="1"/>
  <c r="Y77" i="1"/>
  <c r="AG77" i="1" s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Y31" i="1"/>
  <c r="AG31" i="1" s="1"/>
  <c r="Y25" i="1"/>
  <c r="AG25" i="1" s="1"/>
  <c r="Y17" i="1"/>
  <c r="AG17" i="1" s="1"/>
  <c r="AG85" i="1" l="1"/>
  <c r="Y105" i="1"/>
  <c r="Y83" i="1"/>
  <c r="AG83" i="1" s="1"/>
  <c r="Y84" i="1"/>
  <c r="AG84" i="1" s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Y9" i="1"/>
  <c r="AG9" i="1" s="1"/>
  <c r="AF19" i="1" l="1"/>
  <c r="AF24" i="1"/>
  <c r="Y20" i="1"/>
  <c r="AG20" i="1" s="1"/>
  <c r="Y14" i="1"/>
  <c r="AG14" i="1" s="1"/>
  <c r="Y29" i="1"/>
  <c r="AG29" i="1" s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19" i="1"/>
  <c r="AA19" i="1"/>
  <c r="AB18" i="1"/>
  <c r="AA18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Z33" i="1"/>
  <c r="Z32" i="1"/>
  <c r="Z30" i="1"/>
  <c r="Z29" i="1" s="1"/>
  <c r="Z28" i="1"/>
  <c r="Z27" i="1"/>
  <c r="Z26" i="1"/>
  <c r="Z24" i="1"/>
  <c r="Z23" i="1"/>
  <c r="Z22" i="1"/>
  <c r="Z21" i="1"/>
  <c r="Z19" i="1"/>
  <c r="Z18" i="1"/>
  <c r="Z16" i="1"/>
  <c r="Z15" i="1"/>
  <c r="Z13" i="1"/>
  <c r="Z12" i="1"/>
  <c r="Z11" i="1"/>
  <c r="Z10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Z89" i="1"/>
  <c r="AB86" i="1"/>
  <c r="AA86" i="1"/>
  <c r="Z86" i="1"/>
  <c r="AB84" i="1"/>
  <c r="AA84" i="1"/>
  <c r="Z84" i="1"/>
  <c r="AB76" i="1"/>
  <c r="AA76" i="1"/>
  <c r="Z76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<sst xmlns="http://schemas.openxmlformats.org/spreadsheetml/2006/main" count="1026" uniqueCount="284">
  <si>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</si>
  <si>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</si>
  <si>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</si>
  <si>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</si>
  <si>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</si>
  <si>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</si>
  <si>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</si>
  <si>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</si>
  <si>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</si>
  <si>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</si>
  <si>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</si>
  <si>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</si>
  <si>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</si>
  <si>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</si>
  <si>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</si>
  <si>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</si>
  <si>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</si>
  <si>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</si>
  <si>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</si>
  <si>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</si>
  <si>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</si>
  <si>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</si>
  <si>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</si>
  <si>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</si>
  <si>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</si>
  <si>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</si>
  <si>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</si>
  <si>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</si>
  <si>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</si>
  <si>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</si>
  <si>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</si>
  <si>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</si>
  <si>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</si>
  <si>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</si>
  <si>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</si>
  <si>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</si>
  <si>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</si>
  <si>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</si>
  <si>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</si>
  <si>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</si>
  <si>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</si>
  <si>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</si>
  <si>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</si>
  <si>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</si>
  <si>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</si>
  <si>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</si>
  <si>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</si>
  <si>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</si>
  <si>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</si>
  <si>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</si>
  <si>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</si>
  <si>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</si>
  <si>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</si>
  <si>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</si>
  <si>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</si>
  <si>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</si>
  <si>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</si>
  <si>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</si>
  <si>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</si>
  <si>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</si>
  <si>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</si>
  <si>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</si>
  <si>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</si>
  <si>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</si>
  <si>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</si>
  <si>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</si>
  <si>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</si>
  <si>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</si>
  <si>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</si>
  <si>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</si>
  <si>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</si>
  <si>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</si>
  <si>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</si>
  <si>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</si>
  <si>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</si>
  <si>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</si>
  <si>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</si>
  <si>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</si>
  <si>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</si>
  <si>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</si>
  <si>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</si>
  <si>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</si>
  <si>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</si>
  <si>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</si>
  <si>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</si>
  <si>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</si>
  <si>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</si>
  <si>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</si>
  <si>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</si>
  <si>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</si>
  <si>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</si>
  <si>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</si>
  <si>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</si>
  <si>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</si>
  <si>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</si>
  <si>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</si>
  <si>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</si>
  <si>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</si>
  <si>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</si>
  <si>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</si>
  <si>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</si>
  <si>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</si>
  <si>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</si>
  <si>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</si>
  <si>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</si>
  <si>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</si>
  <si>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</si>
  <si>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</si>
  <si>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</si>
  <si>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</si>
  <si>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</si>
  <si>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</si>
  <si>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</si>
  <si>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</si>
  <si>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</si>
  <si>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</si>
  <si>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</si>
  <si>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</si>
  <si>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</si>
  <si>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</si>
  <si>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</si>
  <si>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</si>
  <si>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</si>
  <si>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</si>
  <si>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</si>
  <si>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</si>
  <si>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</si>
  <si>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</si>
  <si>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</si>
  <si>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</si>
  <si>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</si>
  <si>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</si>
  <si>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</si>
  <si>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</si>
  <si>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</si>
  <si>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</si>
  <si>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</si>
  <si>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</si>
  <si>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</si>
  <si>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</si>
  <si>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</si>
  <si>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</si>
  <si>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</si>
  <si>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</si>
  <si>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</si>
  <si>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</si>
  <si>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</si>
  <si>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</si>
  <si>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</si>
  <si>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</si>
  <si>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</si>
  <si>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</si>
  <si>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</si>
  <si>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</si>
  <si>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</si>
  <si>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</si>
  <si>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</si>
  <si>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</si>
  <si>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</si>
  <si>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</si>
  <si>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</si>
  <si>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</si>
  <si>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</si>
  <si>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</si>
  <si>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</si>
  <si>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</si>
  <si>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</si>
  <si>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</si>
  <si>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</si>
  <si>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</si>
  <si>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</si>
  <si>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</si>
  <si>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</si>
  <si>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</si>
  <si>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</si>
  <si>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</si>
  <si>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</si>
  <si>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</si>
  <si>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</si>
  <si>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</si>
  <si>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</si>
  <si>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</si>
  <si>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</si>
  <si>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</si>
  <si>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</si>
  <si>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</si>
  <si>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</si>
  <si>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</si>
  <si>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</si>
  <si>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</si>
  <si>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</si>
  <si>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</si>
  <si>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</si>
  <si>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</si>
  <si>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</si>
  <si>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</si>
  <si>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</si>
  <si>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</si>
  <si>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</si>
  <si>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</si>
  <si>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</si>
  <si>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</si>
  <si>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</si>
  <si>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</si>
  <si>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</si>
  <si>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</si>
  <si>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</si>
  <si>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</si>
  <si>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</si>
  <si>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</si>
  <si>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</si>
  <si>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</si>
  <si>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</si>
  <si>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</si>
  <si>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</si>
  <si>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</si>
  <si>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</si>
  <si>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</si>
  <si>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</si>
  <si>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</si>
  <si>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</si>
  <si>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</si>
  <si>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</si>
  <si>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</si>
  <si>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</si>
  <si>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</si>
  <si>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</si>
  <si>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</si>
  <si>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</si>
  <si>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</si>
  <si>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</si>
  <si>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</si>
  <si>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</si>
  <si>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</si>
  <si>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</si>
  <si>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</si>
  <si>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</si>
  <si>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</si>
  <si>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</si>
  <si>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</si>
  <si>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</si>
  <si>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</si>
  <si>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</si>
  <si>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</si>
  <si>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</si>
  <si>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</si>
  <si>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</si>
  <si>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</si>
  <si>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</si>
  <si>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</si>
  <si>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</si>
  <si>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</si>
  <si>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</si>
  <si>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</si>
  <si>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</si>
  <si>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</si>
  <si>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</si>
  <si>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</si>
  <si>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</si>
  <si>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</si>
  <si>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</si>
  <si>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</si>
  <si>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</si>
  <si>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</si>
  <si>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</si>
  <si>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</si>
  <si>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</si>
  <si>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</si>
  <si>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</si>
  <si>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</si>
  <si>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</si>
  <si>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</si>
  <si>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</si>
  <si>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</si>
  <si>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</si>
  <si>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</si>
  <si>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</si>
  <si>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</si>
  <si>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</si>
  <si>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5281 DONATIVOS A INSTITUCIONES SIN FINES DE LUCRO</t>
  </si>
  <si>
    <t>Cierre 2021</t>
  </si>
  <si>
    <t>Saldos actualizados con el INPC</t>
  </si>
  <si>
    <t xml:space="preserve">Acumulado </t>
  </si>
  <si>
    <t>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</si>
</sst>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8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0" fillId="3" borderId="27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9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9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31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43" fontId="3" fillId="7" borderId="6" xfId="1" applyFont="1" applyFill="1" applyBorder="1" applyAlignment="1">
      <alignment horizontal="center"/>
    </xf>
    <xf numFmtId="43" fontId="4" fillId="7" borderId="4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9" fillId="6" borderId="0" xfId="1" applyFont="1" applyFill="1" applyBorder="1"/>
    <xf numFmtId="43" fontId="3" fillId="6" borderId="4" xfId="1" applyFont="1" applyFill="1" applyBorder="1"/>
    <xf numFmtId="164" fontId="3" fillId="3" borderId="31" xfId="1" applyNumberFormat="1" applyFont="1" applyFill="1" applyBorder="1" applyAlignment="1">
      <alignment horizontal="center"/>
    </xf>
    <xf numFmtId="164" fontId="4" fillId="6" borderId="30" xfId="1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3" fillId="6" borderId="13" xfId="1" applyFont="1" applyFill="1" applyBorder="1"/>
    <xf numFmtId="43" fontId="1" fillId="6" borderId="13" xfId="1" applyFont="1" applyFill="1" applyBorder="1"/>
    <xf numFmtId="43" fontId="29" fillId="6" borderId="13" xfId="1" applyFont="1" applyFill="1" applyBorder="1"/>
    <xf numFmtId="43" fontId="15" fillId="6" borderId="13" xfId="1" applyFont="1" applyFill="1" applyBorder="1"/>
    <xf numFmtId="43" fontId="30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2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30" fillId="6" borderId="0" xfId="1" applyFont="1" applyFill="1" applyBorder="1"/>
    <xf numFmtId="43" fontId="31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2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3" xfId="1" applyFont="1" applyFill="1" applyBorder="1"/>
    <xf numFmtId="0" fontId="2" fillId="9" borderId="21" xfId="0" applyFont="1" applyFill="1" applyBorder="1"/>
    <xf numFmtId="43" fontId="18" fillId="7" borderId="0" xfId="1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7" fillId="7" borderId="0" xfId="1" applyFont="1" applyFill="1" applyBorder="1"/>
    <xf numFmtId="43" fontId="29" fillId="7" borderId="0" xfId="1" applyFont="1" applyFill="1" applyBorder="1"/>
    <xf numFmtId="43" fontId="28" fillId="7" borderId="0" xfId="1" applyFont="1" applyFill="1" applyBorder="1"/>
    <xf numFmtId="43" fontId="2" fillId="7" borderId="1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0" fillId="0" borderId="13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3" fillId="0" borderId="4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2" fillId="0" borderId="1" xfId="1" applyFont="1" applyFill="1" applyBorder="1"/>
    <xf numFmtId="43" fontId="0" fillId="0" borderId="22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43" fontId="31" fillId="0" borderId="30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39" t="s">
        <v>78</v>
      </c>
      <c r="K6" s="239"/>
      <c r="L6" s="239" t="s">
        <v>79</v>
      </c>
      <c r="M6" s="239"/>
      <c r="N6" s="239" t="s">
        <v>80</v>
      </c>
      <c r="O6" s="239"/>
      <c r="Q6" s="41" t="s">
        <v>77</v>
      </c>
      <c r="R6" s="239" t="s">
        <v>78</v>
      </c>
      <c r="S6" s="239"/>
      <c r="T6" s="239" t="s">
        <v>79</v>
      </c>
      <c r="U6" s="239"/>
      <c r="V6" s="239" t="s">
        <v>80</v>
      </c>
      <c r="W6" s="239"/>
      <c r="Y6" s="42"/>
      <c r="Z6" s="239" t="s">
        <v>78</v>
      </c>
      <c r="AA6" s="239"/>
      <c r="AB6" s="239" t="s">
        <v>79</v>
      </c>
      <c r="AC6" s="239"/>
      <c r="AD6" s="239" t="s">
        <v>80</v>
      </c>
      <c r="AE6" s="239"/>
      <c r="AG6" s="42"/>
      <c r="AH6" s="239" t="s">
        <v>78</v>
      </c>
      <c r="AI6" s="239"/>
      <c r="AJ6" s="239" t="s">
        <v>79</v>
      </c>
      <c r="AK6" s="239"/>
      <c r="AL6" s="239" t="s">
        <v>80</v>
      </c>
      <c r="AM6" s="239"/>
      <c r="AO6" s="43"/>
      <c r="AP6" s="239" t="s">
        <v>78</v>
      </c>
      <c r="AQ6" s="239"/>
      <c r="AR6" s="239" t="s">
        <v>79</v>
      </c>
      <c r="AS6" s="239"/>
      <c r="AT6" s="239" t="s">
        <v>80</v>
      </c>
      <c r="AU6" s="239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="80" zoomScaleNormal="80" workbookViewId="0">
      <pane xSplit="1" ySplit="3" topLeftCell="L5" activePane="bottomRight" state="frozen"/>
      <selection activeCell="A2" sqref="A2"/>
      <selection pane="topRight" activeCell="B2" sqref="B2"/>
      <selection pane="bottomLeft" activeCell="A5" sqref="A5"/>
      <selection pane="bottomRight" activeCell="A11" sqref="A11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12" width="16.855468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6.85546875" customWidth="1"/>
    <col min="27" max="27" width="19.42578125" style="3" customWidth="1"/>
    <col min="28" max="29" width="16.85546875" style="3" customWidth="1"/>
    <col min="30" max="30" width="16.85546875" style="2" customWidth="1"/>
    <col min="31" max="31" width="17.7109375" style="11" customWidth="1"/>
    <col min="32" max="33" width="16.85546875" style="130" customWidth="1"/>
    <col min="34" max="34" width="17.85546875" customWidth="1"/>
    <col min="35" max="35" width="16.85546875" bestFit="1" customWidth="1"/>
    <col min="36" max="36" width="16.85546875" style="3" bestFit="1" customWidth="1"/>
    <col min="37" max="37" width="14.7109375" bestFit="1" customWidth="1"/>
  </cols>
  <sheetData>
    <row r="1" spans="1:36" x14ac:dyDescent="0.25">
      <c r="B1" s="19"/>
      <c r="Y1" s="112">
        <f>+Y28-Y2</f>
        <v>0</v>
      </c>
      <c r="AA1"/>
      <c r="AB1"/>
      <c r="AC1"/>
      <c r="AD1" s="122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34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42" t="s">
        <v>2</v>
      </c>
      <c r="D3" s="243"/>
      <c r="E3" s="243"/>
      <c r="F3" s="243"/>
      <c r="G3" s="243"/>
      <c r="H3" s="244"/>
      <c r="I3" s="144"/>
      <c r="J3" s="144"/>
      <c r="K3" s="144"/>
      <c r="L3" s="144"/>
      <c r="M3" s="240" t="s">
        <v>283</v>
      </c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159" t="s">
        <v>282</v>
      </c>
      <c r="Z3" s="245" t="s">
        <v>281</v>
      </c>
      <c r="AA3" s="246"/>
      <c r="AB3" s="246"/>
      <c r="AC3" s="246"/>
      <c r="AD3" s="246"/>
      <c r="AE3" s="246"/>
      <c r="AF3" s="246"/>
      <c r="AG3" s="246"/>
      <c r="AH3" s="247"/>
    </row>
    <row r="4" spans="1:36" ht="15.75" thickBot="1" x14ac:dyDescent="0.3">
      <c r="A4" s="18" t="s">
        <v>3</v>
      </c>
      <c r="B4" s="80"/>
      <c r="C4" s="24">
        <v>2013</v>
      </c>
      <c r="D4" s="81">
        <v>2014</v>
      </c>
      <c r="E4" s="81">
        <v>2015</v>
      </c>
      <c r="F4" s="81">
        <v>2016</v>
      </c>
      <c r="G4" s="81">
        <v>2017</v>
      </c>
      <c r="H4" s="81">
        <v>2018</v>
      </c>
      <c r="I4" s="81">
        <v>2019</v>
      </c>
      <c r="J4" s="81">
        <v>2020</v>
      </c>
      <c r="K4" s="81">
        <v>2021</v>
      </c>
      <c r="L4" s="81">
        <v>2022</v>
      </c>
      <c r="M4" s="123" t="s">
        <v>249</v>
      </c>
      <c r="N4" s="123" t="s">
        <v>250</v>
      </c>
      <c r="O4" s="123" t="s">
        <v>251</v>
      </c>
      <c r="P4" s="123" t="s">
        <v>252</v>
      </c>
      <c r="Q4" s="123" t="s">
        <v>253</v>
      </c>
      <c r="R4" s="123" t="s">
        <v>254</v>
      </c>
      <c r="S4" s="123" t="s">
        <v>256</v>
      </c>
      <c r="T4" s="123" t="s">
        <v>257</v>
      </c>
      <c r="U4" s="123" t="s">
        <v>258</v>
      </c>
      <c r="V4" s="123" t="s">
        <v>261</v>
      </c>
      <c r="W4" s="123" t="s">
        <v>262</v>
      </c>
      <c r="X4" s="123" t="s">
        <v>263</v>
      </c>
      <c r="Y4" s="114">
        <v>2023</v>
      </c>
      <c r="Z4" s="191" t="s">
        <v>206</v>
      </c>
      <c r="AA4" s="191" t="s">
        <v>207</v>
      </c>
      <c r="AB4" s="191" t="s">
        <v>230</v>
      </c>
      <c r="AC4" s="191" t="s">
        <v>247</v>
      </c>
      <c r="AD4" s="191" t="s">
        <v>260</v>
      </c>
      <c r="AE4" s="191" t="s">
        <v>264</v>
      </c>
      <c r="AF4" s="161" t="s">
        <v>277</v>
      </c>
      <c r="AG4" s="149" t="s">
        <v>278</v>
      </c>
      <c r="AH4" s="149" t="s">
        <v>280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85"/>
      <c r="M5" s="214"/>
      <c r="N5" s="214"/>
      <c r="O5" s="215"/>
      <c r="P5" s="230"/>
      <c r="Q5" s="214"/>
      <c r="R5" s="230"/>
      <c r="S5" s="214"/>
      <c r="T5" s="230"/>
      <c r="U5" s="214"/>
      <c r="V5" s="230"/>
      <c r="W5" s="214"/>
      <c r="X5" s="215"/>
      <c r="Y5" s="115"/>
      <c r="Z5" s="192" t="s">
        <v>265</v>
      </c>
      <c r="AA5" s="192" t="s">
        <v>266</v>
      </c>
      <c r="AB5" s="192" t="s">
        <v>267</v>
      </c>
      <c r="AC5" s="192" t="s">
        <v>268</v>
      </c>
      <c r="AD5" s="192" t="s">
        <v>269</v>
      </c>
      <c r="AE5" s="192" t="s">
        <v>271</v>
      </c>
      <c r="AF5" s="188">
        <v>105.934</v>
      </c>
      <c r="AG5" s="197">
        <v>109.271</v>
      </c>
      <c r="AH5" s="199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"/>
      <c r="M6" s="216"/>
      <c r="N6" s="216"/>
      <c r="O6" s="201"/>
      <c r="P6" s="209"/>
      <c r="Q6" s="216"/>
      <c r="R6" s="209"/>
      <c r="S6" s="216"/>
      <c r="T6" s="209"/>
      <c r="U6" s="216"/>
      <c r="V6" s="209"/>
      <c r="W6" s="216"/>
      <c r="X6" s="201"/>
      <c r="Y6" s="115"/>
      <c r="Z6" s="165">
        <f>AH5/83.7706</f>
        <v>1.4003480934838715</v>
      </c>
      <c r="AA6" s="193">
        <f>AH5/87.18898</f>
        <v>1.3454452615456678</v>
      </c>
      <c r="AB6" s="129">
        <f>AH5/89.04682</f>
        <v>1.3173743879904978</v>
      </c>
      <c r="AC6" s="193">
        <f>AH5/92.03903</f>
        <v>1.2745462441314299</v>
      </c>
      <c r="AD6" s="129">
        <f>AH5/98.27288</f>
        <v>1.1936965722384447</v>
      </c>
      <c r="AE6" s="193">
        <f>AH5/103.02</f>
        <v>1.1386915162104447</v>
      </c>
      <c r="AF6" s="162">
        <f>AH5/AF5</f>
        <v>1.1073687390261862</v>
      </c>
      <c r="AG6" s="166">
        <f>AH5/109.271</f>
        <v>1.0735510794263803</v>
      </c>
      <c r="AH6" s="198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"/>
      <c r="M7" s="216"/>
      <c r="N7" s="216"/>
      <c r="O7" s="201"/>
      <c r="P7" s="209"/>
      <c r="Q7" s="216"/>
      <c r="R7" s="209"/>
      <c r="S7" s="216"/>
      <c r="T7" s="209"/>
      <c r="U7" s="216"/>
      <c r="V7" s="209"/>
      <c r="W7" s="216"/>
      <c r="X7" s="201"/>
      <c r="Y7" s="115"/>
      <c r="Z7" s="167"/>
      <c r="AA7" s="150"/>
      <c r="AB7" s="28"/>
      <c r="AC7" s="150"/>
      <c r="AD7" s="28"/>
      <c r="AE7" s="150"/>
      <c r="AF7" s="28"/>
      <c r="AG7" s="150"/>
      <c r="AH7" s="178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02">
        <v>33427432.639999997</v>
      </c>
      <c r="M8" s="217">
        <f>M9+M10+M11+M12+M13</f>
        <v>65361571.619999997</v>
      </c>
      <c r="N8" s="217">
        <f>N9+N10+N11+N12+N13</f>
        <v>88086216.11999999</v>
      </c>
      <c r="O8" s="217">
        <f>O9+O10+O11+O12+O13</f>
        <v>31963171.580000002</v>
      </c>
      <c r="P8" s="217">
        <f>P9+P10+P11+P12+P13</f>
        <v>13032259.140000001</v>
      </c>
      <c r="Q8" s="217"/>
      <c r="R8" s="231"/>
      <c r="S8" s="217"/>
      <c r="T8" s="231"/>
      <c r="U8" s="217"/>
      <c r="V8" s="231"/>
      <c r="W8" s="217"/>
      <c r="X8" s="221"/>
      <c r="Y8" s="210">
        <f t="shared" ref="Y8:Y33" si="0">SUM(M8:X8)</f>
        <v>198443218.45999998</v>
      </c>
      <c r="Z8" s="101">
        <f t="shared" ref="Z8:Z28" si="1">$Z$6*C8</f>
        <v>300999742.13345063</v>
      </c>
      <c r="AA8" s="151">
        <f t="shared" ref="AA8:AA28" si="2">$AA$6*D8</f>
        <v>379929655.05361062</v>
      </c>
      <c r="AB8" s="102">
        <f t="shared" ref="AB8:AB28" si="3">$AB$6*E8</f>
        <v>410554757.94571131</v>
      </c>
      <c r="AC8" s="151">
        <f t="shared" ref="AC8:AC28" si="4">$AC$6*$F8</f>
        <v>449109728.87581712</v>
      </c>
      <c r="AD8" s="102">
        <f t="shared" ref="AD8:AD28" si="5">$AD$6*G8</f>
        <v>377748990.83096582</v>
      </c>
      <c r="AE8" s="151">
        <f t="shared" ref="AE8:AE39" si="6">$AE$6*H8</f>
        <v>367383240.41674513</v>
      </c>
      <c r="AF8" s="102">
        <f t="shared" ref="AF8:AF13" si="7">$AF$6*I8</f>
        <v>352348726.26347315</v>
      </c>
      <c r="AG8" s="151">
        <f>$AG$6*Y8</f>
        <v>213038931.38257799</v>
      </c>
      <c r="AH8" s="179">
        <v>389276726.77000004</v>
      </c>
      <c r="AI8" s="136"/>
      <c r="AJ8" s="140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6"/>
      <c r="M9" s="216"/>
      <c r="N9" s="216"/>
      <c r="O9" s="201"/>
      <c r="P9" s="209"/>
      <c r="Q9" s="216"/>
      <c r="R9" s="209"/>
      <c r="S9" s="216"/>
      <c r="T9" s="209"/>
      <c r="U9" s="216"/>
      <c r="V9" s="209"/>
      <c r="W9" s="216"/>
      <c r="X9" s="201"/>
      <c r="Y9" s="200">
        <f t="shared" si="0"/>
        <v>0</v>
      </c>
      <c r="Z9" s="95">
        <f t="shared" si="1"/>
        <v>11252049.791998148</v>
      </c>
      <c r="AA9" s="153">
        <f t="shared" si="2"/>
        <v>10338590.505502874</v>
      </c>
      <c r="AB9" s="96">
        <f t="shared" si="3"/>
        <v>9726641.1935923155</v>
      </c>
      <c r="AC9" s="153">
        <f t="shared" si="4"/>
        <v>13785464.174744561</v>
      </c>
      <c r="AD9" s="96">
        <f t="shared" si="5"/>
        <v>1427982.9926148492</v>
      </c>
      <c r="AE9" s="153">
        <f t="shared" si="6"/>
        <v>0</v>
      </c>
      <c r="AF9" s="189">
        <f t="shared" si="7"/>
        <v>0</v>
      </c>
      <c r="AG9" s="152">
        <f>$AF$6*Y9</f>
        <v>0</v>
      </c>
      <c r="AH9" s="97">
        <v>0</v>
      </c>
      <c r="AJ9" s="141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6">
        <v>25365762.5</v>
      </c>
      <c r="M10" s="216">
        <v>58364008.07</v>
      </c>
      <c r="N10" s="216">
        <v>75886867.25</v>
      </c>
      <c r="O10" s="201">
        <v>20310371.670000002</v>
      </c>
      <c r="P10" s="209">
        <v>9466435.6899999995</v>
      </c>
      <c r="Q10" s="216"/>
      <c r="R10" s="209"/>
      <c r="S10" s="216"/>
      <c r="T10" s="209"/>
      <c r="U10" s="233"/>
      <c r="V10" s="202"/>
      <c r="W10" s="233"/>
      <c r="X10" s="218"/>
      <c r="Y10" s="200"/>
      <c r="Z10" s="95">
        <f t="shared" si="1"/>
        <v>184995282.32877597</v>
      </c>
      <c r="AA10" s="153">
        <f t="shared" si="2"/>
        <v>245228787.15056834</v>
      </c>
      <c r="AB10" s="96">
        <f t="shared" si="3"/>
        <v>279092114.81519413</v>
      </c>
      <c r="AC10" s="153">
        <f t="shared" si="4"/>
        <v>289371328.60275906</v>
      </c>
      <c r="AD10" s="96">
        <f t="shared" si="5"/>
        <v>249037549.94019714</v>
      </c>
      <c r="AE10" s="153">
        <f t="shared" si="6"/>
        <v>242041786.32235801</v>
      </c>
      <c r="AF10" s="163">
        <f t="shared" si="7"/>
        <v>230998107.74148318</v>
      </c>
      <c r="AG10" s="152">
        <f t="shared" ref="AG10:AG18" si="8">$AG$6*Y10</f>
        <v>0</v>
      </c>
      <c r="AH10" s="97">
        <v>260537257.84</v>
      </c>
      <c r="AJ10" s="141"/>
    </row>
    <row r="11" spans="1:36" s="98" customFormat="1" x14ac:dyDescent="0.25">
      <c r="A11" s="98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6">
        <v>3972419.52</v>
      </c>
      <c r="M11" s="216"/>
      <c r="N11" s="216">
        <v>1253905.1400000001</v>
      </c>
      <c r="O11" s="201">
        <v>780693.46</v>
      </c>
      <c r="P11" s="209"/>
      <c r="Q11" s="216"/>
      <c r="R11" s="209"/>
      <c r="S11" s="216"/>
      <c r="T11" s="209"/>
      <c r="U11" s="216"/>
      <c r="V11" s="209"/>
      <c r="W11" s="216"/>
      <c r="X11" s="201"/>
      <c r="Y11" s="200"/>
      <c r="Z11" s="95">
        <f t="shared" si="1"/>
        <v>63819614.255780905</v>
      </c>
      <c r="AA11" s="153">
        <f t="shared" si="2"/>
        <v>61401563.772031739</v>
      </c>
      <c r="AB11" s="96">
        <f t="shared" si="3"/>
        <v>57024243.434210911</v>
      </c>
      <c r="AC11" s="153">
        <f t="shared" si="4"/>
        <v>71535482.347870022</v>
      </c>
      <c r="AD11" s="96">
        <f t="shared" si="5"/>
        <v>69510762.656938523</v>
      </c>
      <c r="AE11" s="153">
        <f t="shared" si="6"/>
        <v>72201257.627614841</v>
      </c>
      <c r="AF11" s="163">
        <f t="shared" si="7"/>
        <v>69158757.543107972</v>
      </c>
      <c r="AG11" s="152">
        <f t="shared" si="8"/>
        <v>0</v>
      </c>
      <c r="AH11" s="97">
        <v>73672162.37000002</v>
      </c>
      <c r="AJ11" s="141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6">
        <v>914802.81</v>
      </c>
      <c r="M12" s="216">
        <v>908893.8</v>
      </c>
      <c r="N12" s="216">
        <v>1413679.21</v>
      </c>
      <c r="O12" s="201">
        <v>916808.84</v>
      </c>
      <c r="P12" s="209">
        <v>412913.49</v>
      </c>
      <c r="Q12" s="216"/>
      <c r="R12" s="209"/>
      <c r="S12" s="216"/>
      <c r="T12" s="209"/>
      <c r="U12" s="216"/>
      <c r="V12" s="209"/>
      <c r="W12" s="216"/>
      <c r="X12" s="201"/>
      <c r="Y12" s="200"/>
      <c r="Z12" s="95">
        <f t="shared" si="1"/>
        <v>0</v>
      </c>
      <c r="AA12" s="153">
        <f t="shared" si="2"/>
        <v>17676793.005342647</v>
      </c>
      <c r="AB12" s="96">
        <f t="shared" si="3"/>
        <v>14080373.448776724</v>
      </c>
      <c r="AC12" s="153">
        <f t="shared" si="4"/>
        <v>15542250.437843598</v>
      </c>
      <c r="AD12" s="96">
        <f t="shared" si="5"/>
        <v>7918657.8495356999</v>
      </c>
      <c r="AE12" s="153">
        <f t="shared" si="6"/>
        <v>7326486.1479541836</v>
      </c>
      <c r="AF12" s="163">
        <f t="shared" si="7"/>
        <v>4421406.9110933226</v>
      </c>
      <c r="AG12" s="152">
        <f t="shared" si="8"/>
        <v>0</v>
      </c>
      <c r="AH12" s="97">
        <v>6733611.3000000007</v>
      </c>
      <c r="AJ12" s="141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6">
        <v>3174447.81</v>
      </c>
      <c r="M13" s="216">
        <v>6088669.75</v>
      </c>
      <c r="N13" s="216">
        <v>9531764.5199999996</v>
      </c>
      <c r="O13" s="201">
        <v>9955297.6099999994</v>
      </c>
      <c r="P13" s="209">
        <v>3152909.96</v>
      </c>
      <c r="Q13" s="216"/>
      <c r="R13" s="209"/>
      <c r="S13" s="216"/>
      <c r="T13" s="209"/>
      <c r="U13" s="216"/>
      <c r="V13" s="209"/>
      <c r="W13" s="216"/>
      <c r="X13" s="201"/>
      <c r="Y13" s="200"/>
      <c r="Z13" s="95">
        <f t="shared" si="1"/>
        <v>40932795.756895617</v>
      </c>
      <c r="AA13" s="153">
        <f t="shared" si="2"/>
        <v>45283920.620165072</v>
      </c>
      <c r="AB13" s="96">
        <f t="shared" si="3"/>
        <v>50631385.053937249</v>
      </c>
      <c r="AC13" s="153">
        <f t="shared" si="4"/>
        <v>58875203.31259989</v>
      </c>
      <c r="AD13" s="96">
        <f t="shared" si="5"/>
        <v>49854037.391679578</v>
      </c>
      <c r="AE13" s="153">
        <f t="shared" si="6"/>
        <v>45813710.318818092</v>
      </c>
      <c r="AF13" s="163">
        <f t="shared" si="7"/>
        <v>47770454.067788623</v>
      </c>
      <c r="AG13" s="152">
        <f t="shared" si="8"/>
        <v>0</v>
      </c>
      <c r="AH13" s="97">
        <v>48333695.260000005</v>
      </c>
      <c r="AJ13" s="141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9">SUM(D15:D16)</f>
        <v>48132312.969999999</v>
      </c>
      <c r="E14" s="102">
        <f t="shared" si="9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02">
        <v>2823939.6100000003</v>
      </c>
      <c r="M14" s="217">
        <f>M15+M16</f>
        <v>2441915.92</v>
      </c>
      <c r="N14" s="217">
        <f>N15+N16</f>
        <v>3929066.52</v>
      </c>
      <c r="O14" s="217">
        <f>O15+O16</f>
        <v>22290758.000000004</v>
      </c>
      <c r="P14" s="217">
        <f>P15+P16</f>
        <v>7262271.6400000006</v>
      </c>
      <c r="Q14" s="217"/>
      <c r="R14" s="231"/>
      <c r="S14" s="217"/>
      <c r="T14" s="231"/>
      <c r="U14" s="217"/>
      <c r="V14" s="231"/>
      <c r="W14" s="217"/>
      <c r="X14" s="221"/>
      <c r="Y14" s="210">
        <f t="shared" si="0"/>
        <v>35924012.080000006</v>
      </c>
      <c r="Z14" s="101">
        <f t="shared" si="1"/>
        <v>43765757.140229627</v>
      </c>
      <c r="AA14" s="151">
        <f t="shared" si="2"/>
        <v>64759392.412719585</v>
      </c>
      <c r="AB14" s="102">
        <f t="shared" si="3"/>
        <v>63647685.226092979</v>
      </c>
      <c r="AC14" s="151">
        <f t="shared" si="4"/>
        <v>76022474.783287048</v>
      </c>
      <c r="AD14" s="102">
        <f t="shared" si="5"/>
        <v>66422420.941750765</v>
      </c>
      <c r="AE14" s="151">
        <f t="shared" si="6"/>
        <v>56018567.126055539</v>
      </c>
      <c r="AF14" s="102">
        <f>$AF$6*Y14</f>
        <v>39781127.957791083</v>
      </c>
      <c r="AG14" s="151">
        <f t="shared" si="8"/>
        <v>38566261.945810333</v>
      </c>
      <c r="AH14" s="179">
        <v>45997661.43</v>
      </c>
      <c r="AI14" s="136"/>
      <c r="AJ14" s="140"/>
    </row>
    <row r="15" spans="1:36" s="98" customFormat="1" ht="24" x14ac:dyDescent="0.2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6">
        <v>451571.10000000003</v>
      </c>
      <c r="M15" s="216">
        <v>664884</v>
      </c>
      <c r="N15" s="216">
        <v>491328.38</v>
      </c>
      <c r="O15" s="201">
        <v>443988.42</v>
      </c>
      <c r="P15" s="209">
        <v>384313.07</v>
      </c>
      <c r="Q15" s="216"/>
      <c r="R15" s="209"/>
      <c r="S15" s="216"/>
      <c r="T15" s="209"/>
      <c r="U15" s="216"/>
      <c r="V15" s="209"/>
      <c r="W15" s="216"/>
      <c r="X15" s="201"/>
      <c r="Y15" s="200"/>
      <c r="Z15" s="95">
        <f t="shared" si="1"/>
        <v>10429409.49303646</v>
      </c>
      <c r="AA15" s="153">
        <f t="shared" si="2"/>
        <v>10880602.348758295</v>
      </c>
      <c r="AB15" s="96">
        <f t="shared" si="3"/>
        <v>8501065.7344237566</v>
      </c>
      <c r="AC15" s="153">
        <f t="shared" si="4"/>
        <v>6790157.8738180967</v>
      </c>
      <c r="AD15" s="96">
        <f t="shared" si="5"/>
        <v>5878613.6361433603</v>
      </c>
      <c r="AE15" s="153">
        <f t="shared" si="6"/>
        <v>5733026.484960204</v>
      </c>
      <c r="AF15" s="96">
        <f>$AF$6*I15</f>
        <v>7021574.7648720909</v>
      </c>
      <c r="AG15" s="153">
        <f t="shared" si="8"/>
        <v>0</v>
      </c>
      <c r="AH15" s="97">
        <v>5787133.3099999996</v>
      </c>
      <c r="AJ15" s="141"/>
    </row>
    <row r="16" spans="1:36" s="98" customFormat="1" ht="12" x14ac:dyDescent="0.2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6">
        <v>2372368.5100000002</v>
      </c>
      <c r="M16" s="216">
        <v>1777031.92</v>
      </c>
      <c r="N16" s="216">
        <v>3437738.14</v>
      </c>
      <c r="O16" s="201">
        <v>21846769.580000002</v>
      </c>
      <c r="P16" s="209">
        <v>6877958.5700000003</v>
      </c>
      <c r="Q16" s="216"/>
      <c r="R16" s="209"/>
      <c r="S16" s="216"/>
      <c r="T16" s="209"/>
      <c r="U16" s="216"/>
      <c r="V16" s="209"/>
      <c r="W16" s="216"/>
      <c r="X16" s="201"/>
      <c r="Y16" s="200"/>
      <c r="Z16" s="95">
        <f t="shared" si="1"/>
        <v>33336347.647193171</v>
      </c>
      <c r="AA16" s="153">
        <f t="shared" si="2"/>
        <v>53878790.063961297</v>
      </c>
      <c r="AB16" s="96">
        <f t="shared" si="3"/>
        <v>55146619.491669223</v>
      </c>
      <c r="AC16" s="153">
        <f t="shared" si="4"/>
        <v>69232316.909468949</v>
      </c>
      <c r="AD16" s="96">
        <f t="shared" si="5"/>
        <v>60543807.305607408</v>
      </c>
      <c r="AE16" s="153">
        <f t="shared" si="6"/>
        <v>50285540.641095325</v>
      </c>
      <c r="AF16" s="96">
        <f>$AF$6*I16</f>
        <v>55199798.257622674</v>
      </c>
      <c r="AG16" s="153">
        <f t="shared" si="8"/>
        <v>0</v>
      </c>
      <c r="AH16" s="97">
        <v>40210528.120000005</v>
      </c>
      <c r="AJ16" s="141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0">SUM(D18:D19)</f>
        <v>6006571.1699999999</v>
      </c>
      <c r="E17" s="102">
        <f t="shared" si="10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02">
        <v>6316628.7199999997</v>
      </c>
      <c r="M17" s="217">
        <f>M18+M19</f>
        <v>427486.31</v>
      </c>
      <c r="N17" s="217">
        <f>N18+N19</f>
        <v>805000.92</v>
      </c>
      <c r="O17" s="217">
        <f>O18+O19</f>
        <v>7209448.25</v>
      </c>
      <c r="P17" s="217">
        <f>P18+P19</f>
        <v>1487918.76</v>
      </c>
      <c r="Q17" s="217"/>
      <c r="R17" s="231"/>
      <c r="S17" s="217"/>
      <c r="T17" s="231"/>
      <c r="U17" s="217"/>
      <c r="V17" s="231"/>
      <c r="W17" s="217"/>
      <c r="X17" s="221"/>
      <c r="Y17" s="210">
        <f>SUM(M17:X17)</f>
        <v>9929854.2400000002</v>
      </c>
      <c r="Z17" s="101">
        <f t="shared" si="1"/>
        <v>8159846.2231756719</v>
      </c>
      <c r="AA17" s="151">
        <f t="shared" si="2"/>
        <v>8081512.7188133178</v>
      </c>
      <c r="AB17" s="102">
        <f t="shared" si="3"/>
        <v>7354098.7163687609</v>
      </c>
      <c r="AC17" s="151">
        <f t="shared" si="4"/>
        <v>10640716.552343935</v>
      </c>
      <c r="AD17" s="102">
        <f t="shared" si="5"/>
        <v>17117776.524456799</v>
      </c>
      <c r="AE17" s="151">
        <f t="shared" si="6"/>
        <v>8536663.6357953809</v>
      </c>
      <c r="AF17" s="102">
        <f>$AF$6*I17</f>
        <v>10102122.045725452</v>
      </c>
      <c r="AG17" s="151">
        <f t="shared" si="8"/>
        <v>10660205.73789862</v>
      </c>
      <c r="AH17" s="179">
        <v>6285699.2400000002</v>
      </c>
      <c r="AI17" s="136"/>
      <c r="AJ17" s="140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6">
        <v>6316628.7199999997</v>
      </c>
      <c r="M18" s="216">
        <v>427486.31</v>
      </c>
      <c r="N18" s="216">
        <v>805000.92</v>
      </c>
      <c r="O18" s="201">
        <v>7209448.25</v>
      </c>
      <c r="P18" s="209">
        <v>1487918.76</v>
      </c>
      <c r="Q18" s="216"/>
      <c r="R18" s="209"/>
      <c r="S18" s="216"/>
      <c r="T18" s="209"/>
      <c r="U18" s="216"/>
      <c r="V18" s="209"/>
      <c r="W18" s="216"/>
      <c r="X18" s="201"/>
      <c r="Y18" s="211"/>
      <c r="Z18" s="95">
        <f t="shared" si="1"/>
        <v>2675426.6479170499</v>
      </c>
      <c r="AA18" s="153">
        <f t="shared" si="2"/>
        <v>695326.11116680107</v>
      </c>
      <c r="AB18" s="96">
        <f t="shared" si="3"/>
        <v>7354098.7163687609</v>
      </c>
      <c r="AC18" s="153">
        <f t="shared" si="4"/>
        <v>10640716.552343935</v>
      </c>
      <c r="AD18" s="96">
        <f t="shared" si="5"/>
        <v>17117776.524456799</v>
      </c>
      <c r="AE18" s="153">
        <f t="shared" si="6"/>
        <v>8536663.6357953809</v>
      </c>
      <c r="AF18" s="96">
        <f>$AF$6*I18</f>
        <v>10102122.045725452</v>
      </c>
      <c r="AG18" s="153">
        <f t="shared" si="8"/>
        <v>0</v>
      </c>
      <c r="AH18" s="97">
        <v>6253424.9800000004</v>
      </c>
      <c r="AJ18" s="141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6"/>
      <c r="M19" s="216"/>
      <c r="N19" s="216"/>
      <c r="O19" s="201"/>
      <c r="P19" s="209"/>
      <c r="Q19" s="216"/>
      <c r="R19" s="209"/>
      <c r="S19" s="216"/>
      <c r="T19" s="209"/>
      <c r="U19" s="216"/>
      <c r="V19" s="209"/>
      <c r="W19" s="216"/>
      <c r="X19" s="201"/>
      <c r="Y19" s="200">
        <f t="shared" si="0"/>
        <v>0</v>
      </c>
      <c r="Z19" s="95">
        <f t="shared" si="1"/>
        <v>5484419.5752586229</v>
      </c>
      <c r="AA19" s="153">
        <f t="shared" si="2"/>
        <v>7386186.6076465165</v>
      </c>
      <c r="AB19" s="96">
        <f t="shared" si="3"/>
        <v>0</v>
      </c>
      <c r="AC19" s="153">
        <f t="shared" si="4"/>
        <v>0</v>
      </c>
      <c r="AD19" s="96">
        <f t="shared" si="5"/>
        <v>0</v>
      </c>
      <c r="AE19" s="153">
        <f t="shared" si="6"/>
        <v>0</v>
      </c>
      <c r="AF19" s="96">
        <f>$AF$6*Y19</f>
        <v>0</v>
      </c>
      <c r="AG19" s="153">
        <f>$AF$6*Y19</f>
        <v>0</v>
      </c>
      <c r="AH19" s="97">
        <v>0</v>
      </c>
      <c r="AJ19" s="141"/>
    </row>
    <row r="20" spans="1:36" s="92" customFormat="1" x14ac:dyDescent="0.25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02">
        <v>5695175.0300000003</v>
      </c>
      <c r="M20" s="217">
        <f>SUM(M21:M24)</f>
        <v>7812224.2800000003</v>
      </c>
      <c r="N20" s="217">
        <f>SUM(N21:N24)</f>
        <v>8632337.7599999998</v>
      </c>
      <c r="O20" s="217">
        <f>SUM(O21:O24)</f>
        <v>4041120.66</v>
      </c>
      <c r="P20" s="217">
        <f>SUM(P21:P24)</f>
        <v>1914598.62</v>
      </c>
      <c r="Q20" s="217"/>
      <c r="R20" s="231"/>
      <c r="S20" s="217"/>
      <c r="T20" s="231"/>
      <c r="U20" s="217"/>
      <c r="V20" s="231"/>
      <c r="W20" s="217"/>
      <c r="X20" s="221"/>
      <c r="Y20" s="210">
        <f t="shared" si="0"/>
        <v>22400281.32</v>
      </c>
      <c r="Z20" s="101">
        <f t="shared" si="1"/>
        <v>319214365.35686749</v>
      </c>
      <c r="AA20" s="151">
        <f t="shared" si="2"/>
        <v>32740137.742677573</v>
      </c>
      <c r="AB20" s="102">
        <f t="shared" si="3"/>
        <v>51600660.925891802</v>
      </c>
      <c r="AC20" s="151">
        <f t="shared" si="4"/>
        <v>52617791.583129033</v>
      </c>
      <c r="AD20" s="102">
        <f t="shared" si="5"/>
        <v>46608695.176495895</v>
      </c>
      <c r="AE20" s="151">
        <f t="shared" si="6"/>
        <v>46597542.914580092</v>
      </c>
      <c r="AF20" s="102">
        <f>$AF$6*I20</f>
        <v>79281646.152312189</v>
      </c>
      <c r="AG20" s="151">
        <f>$AG$6*Y20</f>
        <v>24047846.190540582</v>
      </c>
      <c r="AH20" s="179">
        <v>57803828.150000006</v>
      </c>
      <c r="AI20" s="136"/>
      <c r="AJ20" s="140"/>
    </row>
    <row r="21" spans="1:36" s="98" customFormat="1" ht="12" x14ac:dyDescent="0.2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6">
        <v>1153203.1200000001</v>
      </c>
      <c r="M21" s="216">
        <v>1926816</v>
      </c>
      <c r="N21" s="216">
        <v>1928749.78</v>
      </c>
      <c r="O21" s="201">
        <v>1570333.09</v>
      </c>
      <c r="P21" s="209">
        <v>903480.15</v>
      </c>
      <c r="Q21" s="216"/>
      <c r="R21" s="209"/>
      <c r="S21" s="216"/>
      <c r="T21" s="209"/>
      <c r="U21" s="216"/>
      <c r="V21" s="209"/>
      <c r="W21" s="216"/>
      <c r="X21" s="201"/>
      <c r="Y21" s="200"/>
      <c r="Z21" s="95">
        <f t="shared" si="1"/>
        <v>9845773.9130067118</v>
      </c>
      <c r="AA21" s="153">
        <f t="shared" si="2"/>
        <v>21446839.138353951</v>
      </c>
      <c r="AB21" s="96">
        <f t="shared" si="3"/>
        <v>20689174.718961556</v>
      </c>
      <c r="AC21" s="153">
        <f t="shared" si="4"/>
        <v>16871196.966730744</v>
      </c>
      <c r="AD21" s="96">
        <f t="shared" si="5"/>
        <v>17175108.493566081</v>
      </c>
      <c r="AE21" s="153">
        <f t="shared" si="6"/>
        <v>12137021.844509419</v>
      </c>
      <c r="AF21" s="96">
        <f>$AF$6*I21</f>
        <v>9151434.8985103928</v>
      </c>
      <c r="AG21" s="153">
        <f>$AG$6*Y21</f>
        <v>0</v>
      </c>
      <c r="AH21" s="97">
        <v>10824709.35</v>
      </c>
      <c r="AJ21" s="141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6"/>
      <c r="M22" s="216"/>
      <c r="N22" s="216"/>
      <c r="O22" s="201"/>
      <c r="P22" s="209"/>
      <c r="Q22" s="216"/>
      <c r="R22" s="209"/>
      <c r="S22" s="216"/>
      <c r="T22" s="209"/>
      <c r="U22" s="216"/>
      <c r="V22" s="209"/>
      <c r="W22" s="216"/>
      <c r="X22" s="201"/>
      <c r="Y22" s="200">
        <f t="shared" ref="Y22" si="11">SUM(M22:X22)</f>
        <v>0</v>
      </c>
      <c r="Z22" s="95">
        <f t="shared" si="1"/>
        <v>1576923.5859836268</v>
      </c>
      <c r="AA22" s="153">
        <f t="shared" si="2"/>
        <v>154584.26060265873</v>
      </c>
      <c r="AB22" s="96">
        <f t="shared" si="3"/>
        <v>230698.60282489596</v>
      </c>
      <c r="AC22" s="153">
        <f t="shared" si="4"/>
        <v>812994.81274411525</v>
      </c>
      <c r="AD22" s="96">
        <f t="shared" si="5"/>
        <v>590360.54524910636</v>
      </c>
      <c r="AE22" s="153">
        <f t="shared" si="6"/>
        <v>71359.519937876146</v>
      </c>
      <c r="AF22" s="96">
        <f>$AF$6*I22</f>
        <v>2912326.4859814602</v>
      </c>
      <c r="AG22" s="153">
        <f>$AF$6*Y22</f>
        <v>0</v>
      </c>
      <c r="AH22" s="175">
        <v>0</v>
      </c>
      <c r="AI22" s="136"/>
      <c r="AJ22" s="140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6">
        <v>4541971.91</v>
      </c>
      <c r="M23" s="216">
        <v>5885408.2800000003</v>
      </c>
      <c r="N23" s="216">
        <v>6703587.9800000004</v>
      </c>
      <c r="O23" s="201">
        <v>2470787.5699999998</v>
      </c>
      <c r="P23" s="209">
        <v>1011118.47</v>
      </c>
      <c r="Q23" s="216"/>
      <c r="R23" s="209"/>
      <c r="S23" s="216"/>
      <c r="T23" s="209"/>
      <c r="U23" s="216"/>
      <c r="V23" s="209"/>
      <c r="W23" s="216"/>
      <c r="X23" s="201"/>
      <c r="Y23" s="200"/>
      <c r="Z23" s="95">
        <f t="shared" si="1"/>
        <v>221712767.38092363</v>
      </c>
      <c r="AA23" s="153">
        <f t="shared" si="2"/>
        <v>11138714.343720961</v>
      </c>
      <c r="AB23" s="96">
        <f t="shared" si="3"/>
        <v>30680787.60410535</v>
      </c>
      <c r="AC23" s="153">
        <f t="shared" si="4"/>
        <v>34933599.803654172</v>
      </c>
      <c r="AD23" s="96">
        <f t="shared" si="5"/>
        <v>28843226.137680717</v>
      </c>
      <c r="AE23" s="153">
        <f t="shared" si="6"/>
        <v>34389161.550132796</v>
      </c>
      <c r="AF23" s="96">
        <f>$AF$6*I23</f>
        <v>67217884.767820343</v>
      </c>
      <c r="AG23" s="153">
        <f>$AG$6*Y23</f>
        <v>0</v>
      </c>
      <c r="AH23" s="97">
        <v>46979118.800000004</v>
      </c>
      <c r="AJ23" s="141"/>
    </row>
    <row r="24" spans="1:36" s="98" customFormat="1" ht="24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6"/>
      <c r="M24" s="216"/>
      <c r="N24" s="216"/>
      <c r="O24" s="201"/>
      <c r="P24" s="209"/>
      <c r="Q24" s="216"/>
      <c r="R24" s="209"/>
      <c r="S24" s="216"/>
      <c r="T24" s="209"/>
      <c r="U24" s="216"/>
      <c r="V24" s="209"/>
      <c r="W24" s="216"/>
      <c r="X24" s="201"/>
      <c r="Y24" s="200">
        <f t="shared" ref="Y24" si="12">SUM(M24:X24)</f>
        <v>0</v>
      </c>
      <c r="Z24" s="95">
        <f t="shared" si="1"/>
        <v>86078900.476953492</v>
      </c>
      <c r="AA24" s="153">
        <f t="shared" si="2"/>
        <v>0</v>
      </c>
      <c r="AB24" s="96">
        <f t="shared" si="3"/>
        <v>0</v>
      </c>
      <c r="AC24" s="153">
        <f t="shared" si="4"/>
        <v>0</v>
      </c>
      <c r="AD24" s="96">
        <f t="shared" si="5"/>
        <v>0</v>
      </c>
      <c r="AE24" s="153">
        <f t="shared" si="6"/>
        <v>0</v>
      </c>
      <c r="AF24" s="96">
        <f>$AF$6*Y24</f>
        <v>0</v>
      </c>
      <c r="AG24" s="153"/>
      <c r="AH24" s="97">
        <v>0</v>
      </c>
      <c r="AJ24" s="141"/>
    </row>
    <row r="25" spans="1:36" s="98" customFormat="1" ht="16.5" x14ac:dyDescent="0.35">
      <c r="A25" s="92" t="s">
        <v>236</v>
      </c>
      <c r="B25" s="100"/>
      <c r="C25" s="101">
        <f t="shared" ref="C25:E25" si="13">SUM(C26:C30)</f>
        <v>729278324.88</v>
      </c>
      <c r="D25" s="102">
        <f t="shared" si="13"/>
        <v>849535921.20999992</v>
      </c>
      <c r="E25" s="102">
        <f t="shared" si="13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02">
        <v>132868999.8</v>
      </c>
      <c r="M25" s="217">
        <f>SUM(M26:M28)</f>
        <v>120343830.40000001</v>
      </c>
      <c r="N25" s="217">
        <f>SUM(N26:N28)</f>
        <v>156085273.33000001</v>
      </c>
      <c r="O25" s="217">
        <f>SUM(O26:O28)</f>
        <v>127255576.56999999</v>
      </c>
      <c r="P25" s="217">
        <f>SUM(P26:P28)</f>
        <v>139099568.69999999</v>
      </c>
      <c r="Q25" s="217"/>
      <c r="R25" s="231"/>
      <c r="S25" s="217"/>
      <c r="T25" s="231"/>
      <c r="U25" s="217"/>
      <c r="V25" s="231"/>
      <c r="W25" s="217"/>
      <c r="X25" s="221"/>
      <c r="Y25" s="210">
        <f>SUM(M25:X25)</f>
        <v>542784249</v>
      </c>
      <c r="Z25" s="101">
        <f t="shared" si="1"/>
        <v>1021243511.8648194</v>
      </c>
      <c r="AA25" s="151">
        <f t="shared" si="2"/>
        <v>1143004079.7048283</v>
      </c>
      <c r="AB25" s="102">
        <f t="shared" si="3"/>
        <v>1106062367.3857155</v>
      </c>
      <c r="AC25" s="151">
        <f t="shared" si="4"/>
        <v>1366236698.1139045</v>
      </c>
      <c r="AD25" s="102">
        <f t="shared" si="5"/>
        <v>1398218466.5924332</v>
      </c>
      <c r="AE25" s="151">
        <f t="shared" si="6"/>
        <v>1249829900.6521142</v>
      </c>
      <c r="AF25" s="102">
        <f t="shared" ref="AF25:AF34" si="14">$AF$6*I25</f>
        <v>1278673461.3666482</v>
      </c>
      <c r="AG25" s="151">
        <f t="shared" ref="AG25:AG30" si="15">$AG$6*Y25</f>
        <v>582706616.40958714</v>
      </c>
      <c r="AH25" s="180">
        <v>1241919421.6599998</v>
      </c>
      <c r="AJ25" s="141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6">
        <v>74686086</v>
      </c>
      <c r="M26" s="216">
        <v>72884896</v>
      </c>
      <c r="N26" s="216">
        <v>94437034</v>
      </c>
      <c r="O26" s="201">
        <v>70186386</v>
      </c>
      <c r="P26" s="209">
        <v>91945134</v>
      </c>
      <c r="Q26" s="216"/>
      <c r="R26" s="209"/>
      <c r="S26" s="216"/>
      <c r="T26" s="209"/>
      <c r="U26" s="216"/>
      <c r="V26" s="209"/>
      <c r="W26" s="216"/>
      <c r="X26" s="201"/>
      <c r="Y26" s="211"/>
      <c r="Z26" s="95">
        <f t="shared" si="1"/>
        <v>611284477.52707374</v>
      </c>
      <c r="AA26" s="153">
        <f t="shared" si="2"/>
        <v>622353792.69659865</v>
      </c>
      <c r="AB26" s="96">
        <f t="shared" si="3"/>
        <v>657085343.91124403</v>
      </c>
      <c r="AC26" s="153">
        <f t="shared" si="4"/>
        <v>702163718.47947252</v>
      </c>
      <c r="AD26" s="96">
        <f t="shared" si="5"/>
        <v>737887602.76692903</v>
      </c>
      <c r="AE26" s="153">
        <f t="shared" si="6"/>
        <v>779250233.31467342</v>
      </c>
      <c r="AF26" s="96">
        <f t="shared" si="14"/>
        <v>770636116.34441519</v>
      </c>
      <c r="AG26" s="153">
        <f t="shared" si="15"/>
        <v>0</v>
      </c>
      <c r="AH26" s="173">
        <v>832838660.58000004</v>
      </c>
      <c r="AI26" s="136"/>
      <c r="AJ26" s="140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6">
        <v>28589733</v>
      </c>
      <c r="M27" s="216">
        <v>46903125</v>
      </c>
      <c r="N27" s="216">
        <v>46903125</v>
      </c>
      <c r="O27" s="201">
        <v>46903125</v>
      </c>
      <c r="P27" s="209">
        <v>46903125</v>
      </c>
      <c r="Q27" s="216"/>
      <c r="R27" s="209"/>
      <c r="S27" s="216"/>
      <c r="T27" s="209"/>
      <c r="U27" s="216"/>
      <c r="V27" s="209"/>
      <c r="W27" s="216"/>
      <c r="X27" s="201"/>
      <c r="Y27" s="211"/>
      <c r="Z27" s="95">
        <f t="shared" si="1"/>
        <v>356208314.69151044</v>
      </c>
      <c r="AA27" s="153">
        <f t="shared" si="2"/>
        <v>375081565.65754944</v>
      </c>
      <c r="AB27" s="96">
        <f t="shared" si="3"/>
        <v>368453534.09106225</v>
      </c>
      <c r="AC27" s="153">
        <f t="shared" si="4"/>
        <v>375449141.84023714</v>
      </c>
      <c r="AD27" s="96">
        <f t="shared" si="5"/>
        <v>385393083.46412075</v>
      </c>
      <c r="AE27" s="153">
        <f t="shared" si="6"/>
        <v>405163928.2508086</v>
      </c>
      <c r="AF27" s="96">
        <f t="shared" si="14"/>
        <v>448522544.63447052</v>
      </c>
      <c r="AG27" s="153">
        <f t="shared" si="15"/>
        <v>0</v>
      </c>
      <c r="AH27" s="97">
        <v>406652187.13999999</v>
      </c>
      <c r="AJ27" s="141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6">
        <v>29593180.800000001</v>
      </c>
      <c r="M28" s="216">
        <v>555809.4</v>
      </c>
      <c r="N28" s="216">
        <v>14745114.33</v>
      </c>
      <c r="O28" s="201">
        <v>10166065.57</v>
      </c>
      <c r="P28" s="209">
        <v>251309.7</v>
      </c>
      <c r="Q28" s="216"/>
      <c r="R28" s="209"/>
      <c r="S28" s="216"/>
      <c r="T28" s="209"/>
      <c r="U28" s="216"/>
      <c r="V28" s="209"/>
      <c r="W28" s="216"/>
      <c r="X28" s="201"/>
      <c r="Y28" s="211"/>
      <c r="Z28" s="95">
        <f t="shared" si="1"/>
        <v>7088759.0361816678</v>
      </c>
      <c r="AA28" s="153">
        <f t="shared" si="2"/>
        <v>59979543.448691331</v>
      </c>
      <c r="AB28" s="96">
        <f t="shared" si="3"/>
        <v>30788521.058790877</v>
      </c>
      <c r="AC28" s="153">
        <f t="shared" si="4"/>
        <v>235327534.72467104</v>
      </c>
      <c r="AD28" s="96">
        <f t="shared" si="5"/>
        <v>274937780.36138356</v>
      </c>
      <c r="AE28" s="153">
        <f t="shared" si="6"/>
        <v>65415739.086632505</v>
      </c>
      <c r="AF28" s="96">
        <f t="shared" si="14"/>
        <v>59514800.387762569</v>
      </c>
      <c r="AG28" s="153">
        <f t="shared" si="15"/>
        <v>0</v>
      </c>
      <c r="AH28" s="97">
        <v>2428573.9400000004</v>
      </c>
      <c r="AJ28" s="141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16">SUM(D30)</f>
        <v>31807008.559999999</v>
      </c>
      <c r="E29" s="96">
        <f t="shared" si="16"/>
        <v>18876550.5</v>
      </c>
      <c r="F29" s="96">
        <f t="shared" si="16"/>
        <v>41815903.75</v>
      </c>
      <c r="G29" s="102">
        <f t="shared" si="16"/>
        <v>25132947.600000001</v>
      </c>
      <c r="H29" s="102">
        <f t="shared" si="16"/>
        <v>22619653.199999999</v>
      </c>
      <c r="I29" s="102">
        <v>14912499</v>
      </c>
      <c r="J29" s="102">
        <v>0</v>
      </c>
      <c r="K29" s="102">
        <v>0</v>
      </c>
      <c r="L29" s="102"/>
      <c r="M29" s="217"/>
      <c r="N29" s="217"/>
      <c r="O29" s="221"/>
      <c r="P29" s="231"/>
      <c r="Q29" s="217"/>
      <c r="R29" s="231"/>
      <c r="S29" s="217"/>
      <c r="T29" s="231"/>
      <c r="U29" s="217"/>
      <c r="V29" s="231"/>
      <c r="W29" s="217"/>
      <c r="X29" s="221"/>
      <c r="Y29" s="210">
        <f t="shared" si="0"/>
        <v>0</v>
      </c>
      <c r="Z29" s="131">
        <f t="shared" ref="Z29:AD29" si="17">SUM(Z30)</f>
        <v>46661960.610053651</v>
      </c>
      <c r="AA29" s="184">
        <f t="shared" si="17"/>
        <v>42794588.950994492</v>
      </c>
      <c r="AB29" s="132">
        <f t="shared" si="17"/>
        <v>24867484.162309226</v>
      </c>
      <c r="AC29" s="184">
        <f t="shared" si="17"/>
        <v>53296303.069523878</v>
      </c>
      <c r="AD29" s="132">
        <f t="shared" si="17"/>
        <v>30001113.400368448</v>
      </c>
      <c r="AE29" s="184">
        <f t="shared" si="6"/>
        <v>25756807.198462438</v>
      </c>
      <c r="AF29" s="102">
        <f t="shared" si="14"/>
        <v>16513635.213359263</v>
      </c>
      <c r="AG29" s="151">
        <f t="shared" si="15"/>
        <v>0</v>
      </c>
      <c r="AH29" s="181">
        <v>0</v>
      </c>
      <c r="AJ29" s="141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6"/>
      <c r="M30" s="216"/>
      <c r="N30" s="216"/>
      <c r="O30" s="201"/>
      <c r="P30" s="209"/>
      <c r="Q30" s="216"/>
      <c r="R30" s="209"/>
      <c r="S30" s="216"/>
      <c r="T30" s="209"/>
      <c r="U30" s="216"/>
      <c r="V30" s="209"/>
      <c r="W30" s="216"/>
      <c r="X30" s="201"/>
      <c r="Y30" s="212">
        <f t="shared" si="0"/>
        <v>0</v>
      </c>
      <c r="Z30" s="95">
        <f>$Z$6*C30</f>
        <v>46661960.610053651</v>
      </c>
      <c r="AA30" s="153">
        <f>$AA$6*D30</f>
        <v>42794588.950994492</v>
      </c>
      <c r="AB30" s="96">
        <f>$AB$6*E30</f>
        <v>24867484.162309226</v>
      </c>
      <c r="AC30" s="153">
        <f>$AC$6*$F30</f>
        <v>53296303.069523878</v>
      </c>
      <c r="AD30" s="96">
        <f t="shared" ref="AD30:AD73" si="18">$AD$6*G30</f>
        <v>30001113.400368448</v>
      </c>
      <c r="AE30" s="153">
        <f t="shared" si="6"/>
        <v>25756807.198462438</v>
      </c>
      <c r="AF30" s="96">
        <f t="shared" si="14"/>
        <v>16513635.213359263</v>
      </c>
      <c r="AG30" s="153">
        <f t="shared" si="15"/>
        <v>0</v>
      </c>
      <c r="AH30" s="97">
        <v>0</v>
      </c>
      <c r="AJ30" s="141"/>
    </row>
    <row r="31" spans="1:36" s="98" customFormat="1" ht="17.25" x14ac:dyDescent="0.4">
      <c r="A31" s="99" t="s">
        <v>237</v>
      </c>
      <c r="B31" s="100"/>
      <c r="C31" s="101">
        <f t="shared" ref="C31:E31" si="19">SUM(C32:C33)</f>
        <v>15808357.029999999</v>
      </c>
      <c r="D31" s="102">
        <f t="shared" si="19"/>
        <v>4201344.5999999996</v>
      </c>
      <c r="E31" s="102">
        <f t="shared" si="19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02">
        <v>0</v>
      </c>
      <c r="M31" s="217"/>
      <c r="N31" s="217"/>
      <c r="O31" s="237"/>
      <c r="P31" s="231"/>
      <c r="Q31" s="217"/>
      <c r="R31" s="231"/>
      <c r="S31" s="217"/>
      <c r="T31" s="231"/>
      <c r="U31" s="217"/>
      <c r="V31" s="231"/>
      <c r="W31" s="217"/>
      <c r="X31" s="221"/>
      <c r="Y31" s="210">
        <f t="shared" si="0"/>
        <v>0</v>
      </c>
      <c r="Z31" s="101">
        <f>$Z$6*C31</f>
        <v>22137202.628072854</v>
      </c>
      <c r="AA31" s="151">
        <f>$AA$6*D31</f>
        <v>5652679.1841904782</v>
      </c>
      <c r="AB31" s="102">
        <f>$AB$6*E31</f>
        <v>0</v>
      </c>
      <c r="AC31" s="151">
        <f>$AC$6*$F31</f>
        <v>0</v>
      </c>
      <c r="AD31" s="102">
        <f t="shared" si="18"/>
        <v>0</v>
      </c>
      <c r="AE31" s="151">
        <f t="shared" si="6"/>
        <v>0</v>
      </c>
      <c r="AF31" s="102">
        <f t="shared" si="14"/>
        <v>0</v>
      </c>
      <c r="AG31" s="184">
        <f t="shared" ref="AG31:AG34" si="20">$AF$6*Y31</f>
        <v>0</v>
      </c>
      <c r="AH31" s="181">
        <v>0</v>
      </c>
      <c r="AJ31" s="141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6"/>
      <c r="M32" s="216"/>
      <c r="N32" s="216"/>
      <c r="O32" s="201"/>
      <c r="P32" s="209"/>
      <c r="Q32" s="216"/>
      <c r="R32" s="209"/>
      <c r="S32" s="216"/>
      <c r="T32" s="209"/>
      <c r="U32" s="216"/>
      <c r="V32" s="209"/>
      <c r="W32" s="216"/>
      <c r="X32" s="201"/>
      <c r="Y32" s="200">
        <f t="shared" si="0"/>
        <v>0</v>
      </c>
      <c r="Z32" s="95">
        <f>$Z$6*C32</f>
        <v>232189.88292455827</v>
      </c>
      <c r="AA32" s="153">
        <f>$AA$6*D32</f>
        <v>0</v>
      </c>
      <c r="AB32" s="96">
        <f>$AB$6*E32</f>
        <v>0</v>
      </c>
      <c r="AC32" s="153">
        <f>$AC$6*$F32</f>
        <v>0</v>
      </c>
      <c r="AD32" s="96">
        <f t="shared" si="18"/>
        <v>0</v>
      </c>
      <c r="AE32" s="153">
        <f t="shared" si="6"/>
        <v>0</v>
      </c>
      <c r="AF32" s="96">
        <f t="shared" si="14"/>
        <v>0</v>
      </c>
      <c r="AG32" s="153">
        <f t="shared" si="20"/>
        <v>0</v>
      </c>
      <c r="AH32" s="175">
        <v>0</v>
      </c>
      <c r="AI32" s="136"/>
      <c r="AJ32" s="140"/>
    </row>
    <row r="33" spans="1:37" s="98" customFormat="1" ht="12" x14ac:dyDescent="0.2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6"/>
      <c r="M33" s="216"/>
      <c r="N33" s="216"/>
      <c r="O33" s="201"/>
      <c r="P33" s="209"/>
      <c r="Q33" s="216"/>
      <c r="R33" s="209"/>
      <c r="S33" s="216"/>
      <c r="T33" s="209"/>
      <c r="U33" s="216"/>
      <c r="V33" s="209"/>
      <c r="W33" s="216"/>
      <c r="X33" s="201"/>
      <c r="Y33" s="200">
        <f t="shared" si="0"/>
        <v>0</v>
      </c>
      <c r="Z33" s="95">
        <f>$Z$6*C33</f>
        <v>21905012.745148297</v>
      </c>
      <c r="AA33" s="153">
        <f>$AA$6*D33</f>
        <v>5652679.1841904782</v>
      </c>
      <c r="AB33" s="96">
        <f>$AB$6*E33</f>
        <v>0</v>
      </c>
      <c r="AC33" s="153">
        <f>$AC$6*$F33</f>
        <v>0</v>
      </c>
      <c r="AD33" s="96">
        <f t="shared" si="18"/>
        <v>0</v>
      </c>
      <c r="AE33" s="153">
        <f t="shared" si="6"/>
        <v>0</v>
      </c>
      <c r="AF33" s="96">
        <f t="shared" si="14"/>
        <v>0</v>
      </c>
      <c r="AG33" s="153">
        <f t="shared" si="20"/>
        <v>0</v>
      </c>
      <c r="AH33" s="97">
        <v>0</v>
      </c>
      <c r="AJ33" s="141"/>
    </row>
    <row r="34" spans="1:37" s="98" customFormat="1" ht="12.75" x14ac:dyDescent="0.2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"/>
      <c r="M34" s="219"/>
      <c r="N34" s="219"/>
      <c r="O34" s="203"/>
      <c r="P34" s="204"/>
      <c r="Q34" s="219"/>
      <c r="R34" s="204"/>
      <c r="S34" s="219"/>
      <c r="T34" s="204"/>
      <c r="U34" s="219"/>
      <c r="V34" s="204"/>
      <c r="W34" s="219"/>
      <c r="X34" s="203"/>
      <c r="Y34" s="200"/>
      <c r="Z34" s="82"/>
      <c r="AA34" s="150"/>
      <c r="AB34" s="28"/>
      <c r="AC34" s="150"/>
      <c r="AD34" s="28">
        <f t="shared" si="18"/>
        <v>0</v>
      </c>
      <c r="AE34" s="150">
        <f t="shared" si="6"/>
        <v>0</v>
      </c>
      <c r="AF34" s="96">
        <f t="shared" si="14"/>
        <v>0</v>
      </c>
      <c r="AG34" s="153">
        <f t="shared" si="20"/>
        <v>0</v>
      </c>
      <c r="AH34" s="97"/>
      <c r="AJ34" s="141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06">
        <v>181132175.79999998</v>
      </c>
      <c r="M35" s="220">
        <f>M8+M14+M17+M20+M25+M29+M31</f>
        <v>196387028.53</v>
      </c>
      <c r="N35" s="220">
        <f>N8+N14+N17+N20+N25+N29+N31</f>
        <v>257537894.65000001</v>
      </c>
      <c r="O35" s="220">
        <f>O8+O14+O17+O20+O25+O29+O31</f>
        <v>192760075.06</v>
      </c>
      <c r="P35" s="220">
        <f>P8+P14+P17+P20+P25+P29+P31</f>
        <v>162796616.85999998</v>
      </c>
      <c r="Q35" s="220"/>
      <c r="R35" s="232"/>
      <c r="S35" s="220"/>
      <c r="T35" s="232"/>
      <c r="U35" s="220"/>
      <c r="V35" s="232"/>
      <c r="W35" s="220"/>
      <c r="X35" s="222"/>
      <c r="Y35" s="213">
        <f>+Y31+Y29+Y25+Y20++Y17+Y14+Y8</f>
        <v>809481615.10000014</v>
      </c>
      <c r="Z35" s="105">
        <f>$Z$6*C35</f>
        <v>1715520425.3466156</v>
      </c>
      <c r="AA35" s="154">
        <f>$AA$6*D35</f>
        <v>1634167456.8168399</v>
      </c>
      <c r="AB35" s="106">
        <f>$AB$6*E35</f>
        <v>1639219570.1997805</v>
      </c>
      <c r="AC35" s="154">
        <f>$AC$6*$F35</f>
        <v>1954627409.9084818</v>
      </c>
      <c r="AD35" s="106">
        <f t="shared" si="18"/>
        <v>1936117463.466471</v>
      </c>
      <c r="AE35" s="154">
        <f t="shared" si="6"/>
        <v>1754122721.9437525</v>
      </c>
      <c r="AF35" s="106">
        <f>$AF$6*Y35</f>
        <v>896394635.37816775</v>
      </c>
      <c r="AG35" s="154">
        <f>$AG$6*Y35</f>
        <v>869019861.66641486</v>
      </c>
      <c r="AH35" s="182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">
        <v>0</v>
      </c>
      <c r="M36" s="219"/>
      <c r="N36" s="219"/>
      <c r="O36" s="203"/>
      <c r="P36" s="204"/>
      <c r="Q36" s="219"/>
      <c r="R36" s="204"/>
      <c r="S36" s="219"/>
      <c r="T36" s="204"/>
      <c r="U36" s="219"/>
      <c r="V36" s="204"/>
      <c r="W36" s="219"/>
      <c r="X36" s="203"/>
      <c r="Y36" s="115"/>
      <c r="Z36" s="82"/>
      <c r="AA36" s="150"/>
      <c r="AB36" s="28"/>
      <c r="AC36" s="150">
        <f>$AC$6*$F36</f>
        <v>0</v>
      </c>
      <c r="AD36" s="28">
        <f t="shared" si="18"/>
        <v>0</v>
      </c>
      <c r="AE36" s="150">
        <f t="shared" si="6"/>
        <v>0</v>
      </c>
      <c r="AF36" s="28">
        <f>$AF$6*Y36</f>
        <v>0</v>
      </c>
      <c r="AG36" s="150"/>
      <c r="AH36" s="169"/>
      <c r="AI36"/>
      <c r="AJ36" s="142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">
        <v>0</v>
      </c>
      <c r="M37" s="219"/>
      <c r="N37" s="219"/>
      <c r="O37" s="203"/>
      <c r="P37" s="204"/>
      <c r="Q37" s="219"/>
      <c r="R37" s="204"/>
      <c r="S37" s="219"/>
      <c r="T37" s="204"/>
      <c r="U37" s="219"/>
      <c r="V37" s="204"/>
      <c r="W37" s="219"/>
      <c r="X37" s="203"/>
      <c r="Y37" s="115"/>
      <c r="Z37" s="82"/>
      <c r="AA37" s="150"/>
      <c r="AB37" s="28"/>
      <c r="AC37" s="150"/>
      <c r="AD37" s="28">
        <f t="shared" si="18"/>
        <v>0</v>
      </c>
      <c r="AE37" s="150">
        <f t="shared" si="6"/>
        <v>0</v>
      </c>
      <c r="AF37" s="28">
        <f>$AF$6*Y37</f>
        <v>0</v>
      </c>
      <c r="AG37" s="150"/>
      <c r="AH37" s="170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"/>
      <c r="M38" s="219"/>
      <c r="N38" s="219"/>
      <c r="O38" s="203"/>
      <c r="P38" s="204"/>
      <c r="Q38" s="219"/>
      <c r="R38" s="204"/>
      <c r="S38" s="219"/>
      <c r="T38" s="204"/>
      <c r="U38" s="219"/>
      <c r="V38" s="204"/>
      <c r="W38" s="219"/>
      <c r="X38" s="203"/>
      <c r="Y38" s="115"/>
      <c r="Z38" s="82"/>
      <c r="AA38" s="150"/>
      <c r="AB38" s="28"/>
      <c r="AC38" s="150"/>
      <c r="AD38" s="28">
        <f t="shared" si="18"/>
        <v>0</v>
      </c>
      <c r="AE38" s="150">
        <f t="shared" si="6"/>
        <v>0</v>
      </c>
      <c r="AF38" s="28">
        <f>$AF$6*Y38</f>
        <v>0</v>
      </c>
      <c r="AG38" s="150"/>
      <c r="AH38" s="170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1">SUM(D40:D45)</f>
        <v>401815547.27999997</v>
      </c>
      <c r="E39" s="91">
        <f t="shared" si="21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91">
        <v>52410349.990000002</v>
      </c>
      <c r="M39" s="226">
        <f>SUM(M40:M45)</f>
        <v>47510886.009999998</v>
      </c>
      <c r="N39" s="226">
        <f>SUM(N40:N45)</f>
        <v>49394262.879999995</v>
      </c>
      <c r="O39" s="226">
        <f>SUM(O40:O45)</f>
        <v>46661718.079999998</v>
      </c>
      <c r="P39" s="226">
        <f>SUM(P40:P45)</f>
        <v>55748893</v>
      </c>
      <c r="Q39" s="226"/>
      <c r="R39" s="223"/>
      <c r="S39" s="226"/>
      <c r="T39" s="223"/>
      <c r="U39" s="226"/>
      <c r="V39" s="223"/>
      <c r="W39" s="226"/>
      <c r="X39" s="234"/>
      <c r="Y39" s="116">
        <f t="shared" ref="Y39:Y74" si="22">SUM(M39:X39)</f>
        <v>199315759.96999997</v>
      </c>
      <c r="Z39" s="90">
        <f t="shared" ref="Z39:Z73" si="23">$Z$6*C39</f>
        <v>524193101.64263117</v>
      </c>
      <c r="AA39" s="155">
        <f t="shared" ref="AA39:AA73" si="24">$AA$6*D39</f>
        <v>540620824.10325515</v>
      </c>
      <c r="AB39" s="91">
        <f t="shared" ref="AB39:AB73" si="25">$AB$6*E39</f>
        <v>542734568.45584702</v>
      </c>
      <c r="AC39" s="155">
        <f t="shared" ref="AC39:AC73" si="26">$AC$6*$F39</f>
        <v>574942566.31402087</v>
      </c>
      <c r="AD39" s="91">
        <f t="shared" si="18"/>
        <v>556896822.60466981</v>
      </c>
      <c r="AE39" s="155">
        <f t="shared" si="6"/>
        <v>585114397.0738591</v>
      </c>
      <c r="AF39" s="91">
        <f t="shared" ref="AF39:AF73" si="27">$AF$6*I39</f>
        <v>508012191.83896846</v>
      </c>
      <c r="AG39" s="155">
        <f t="shared" ref="AG39:AG47" si="28">$AG$6*Y39</f>
        <v>213975649.26248279</v>
      </c>
      <c r="AH39" s="171">
        <v>519385802.48000014</v>
      </c>
      <c r="AI39" s="135"/>
      <c r="AJ39" s="140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">
        <v>34227997.719999999</v>
      </c>
      <c r="M40" s="219">
        <v>33765924.030000001</v>
      </c>
      <c r="N40" s="219">
        <v>31344178.650000002</v>
      </c>
      <c r="O40" s="203">
        <v>34385137.049999997</v>
      </c>
      <c r="P40" s="204">
        <v>33977755.399999999</v>
      </c>
      <c r="Q40" s="219"/>
      <c r="R40" s="204"/>
      <c r="S40" s="219"/>
      <c r="T40" s="204"/>
      <c r="U40" s="219"/>
      <c r="V40" s="204"/>
      <c r="W40" s="219"/>
      <c r="X40" s="203"/>
      <c r="Y40" s="115"/>
      <c r="Z40" s="82">
        <f t="shared" si="23"/>
        <v>275982786.20467752</v>
      </c>
      <c r="AA40" s="150">
        <f t="shared" si="24"/>
        <v>274872158.63407141</v>
      </c>
      <c r="AB40" s="28">
        <f t="shared" si="25"/>
        <v>285485617.94484073</v>
      </c>
      <c r="AC40" s="150">
        <f t="shared" si="26"/>
        <v>282974251.47132868</v>
      </c>
      <c r="AD40" s="28">
        <f t="shared" si="18"/>
        <v>281740401.6516301</v>
      </c>
      <c r="AE40" s="150">
        <f t="shared" ref="AE40:AE73" si="29">$AE$6*H40</f>
        <v>284662371.56029397</v>
      </c>
      <c r="AF40" s="28">
        <f t="shared" si="27"/>
        <v>324186222.70509267</v>
      </c>
      <c r="AG40" s="150">
        <f t="shared" si="28"/>
        <v>0</v>
      </c>
      <c r="AH40" s="172">
        <v>350807219.74999994</v>
      </c>
      <c r="AI40" s="137"/>
      <c r="AJ40" s="3"/>
      <c r="AK40" s="139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">
        <v>1456855.25</v>
      </c>
      <c r="M41" s="219">
        <v>1238318.8899999999</v>
      </c>
      <c r="N41" s="219">
        <v>1180446.97</v>
      </c>
      <c r="O41" s="203">
        <v>1907654.09</v>
      </c>
      <c r="P41" s="204">
        <v>1491370.92</v>
      </c>
      <c r="Q41" s="219"/>
      <c r="R41" s="204"/>
      <c r="S41" s="219"/>
      <c r="T41" s="204"/>
      <c r="U41" s="219"/>
      <c r="V41" s="204"/>
      <c r="W41" s="219"/>
      <c r="X41" s="203"/>
      <c r="Y41" s="115"/>
      <c r="Z41" s="82">
        <f t="shared" si="23"/>
        <v>18562947.040496308</v>
      </c>
      <c r="AA41" s="150">
        <f t="shared" si="24"/>
        <v>14810042.332457609</v>
      </c>
      <c r="AB41" s="28">
        <f t="shared" si="25"/>
        <v>12690419.306910681</v>
      </c>
      <c r="AC41" s="150">
        <f t="shared" si="26"/>
        <v>10980920.029010303</v>
      </c>
      <c r="AD41" s="28">
        <f t="shared" si="18"/>
        <v>10822285.703753874</v>
      </c>
      <c r="AE41" s="150">
        <f t="shared" si="29"/>
        <v>12212807.333114736</v>
      </c>
      <c r="AF41" s="28">
        <f t="shared" si="27"/>
        <v>9452875.9841829818</v>
      </c>
      <c r="AG41" s="150">
        <f t="shared" si="28"/>
        <v>0</v>
      </c>
      <c r="AH41" s="170">
        <v>5045786</v>
      </c>
      <c r="AI41" s="135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">
        <v>7620687.0800000001</v>
      </c>
      <c r="M42" s="219">
        <v>6890303.9299999997</v>
      </c>
      <c r="N42" s="219">
        <v>7580790.2400000002</v>
      </c>
      <c r="O42" s="203">
        <v>8886251.9000000004</v>
      </c>
      <c r="P42" s="204">
        <v>6094790.6399999997</v>
      </c>
      <c r="Q42" s="219"/>
      <c r="R42" s="204"/>
      <c r="S42" s="219"/>
      <c r="T42" s="204"/>
      <c r="U42" s="219"/>
      <c r="V42" s="204"/>
      <c r="W42" s="219"/>
      <c r="X42" s="203"/>
      <c r="Y42" s="115"/>
      <c r="Z42" s="82">
        <f t="shared" si="23"/>
        <v>53862512.333258688</v>
      </c>
      <c r="AA42" s="150">
        <f t="shared" si="24"/>
        <v>63176788.986170039</v>
      </c>
      <c r="AB42" s="28">
        <f t="shared" si="25"/>
        <v>61277674.913701817</v>
      </c>
      <c r="AC42" s="150">
        <f t="shared" si="26"/>
        <v>70665457.581068382</v>
      </c>
      <c r="AD42" s="28">
        <f t="shared" si="18"/>
        <v>66353679.44174955</v>
      </c>
      <c r="AE42" s="150">
        <f t="shared" si="29"/>
        <v>67953238.682856157</v>
      </c>
      <c r="AF42" s="28">
        <f t="shared" si="27"/>
        <v>70310383.436526522</v>
      </c>
      <c r="AG42" s="150">
        <f t="shared" si="28"/>
        <v>0</v>
      </c>
      <c r="AH42" s="170">
        <v>75520390.680000007</v>
      </c>
      <c r="AI42" s="135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">
        <v>7552611.4299999997</v>
      </c>
      <c r="M43" s="219">
        <v>4337044.3600000003</v>
      </c>
      <c r="N43" s="219">
        <v>7874507.8200000003</v>
      </c>
      <c r="O43" s="203"/>
      <c r="P43" s="204">
        <v>12930466.58</v>
      </c>
      <c r="Q43" s="219"/>
      <c r="R43" s="204"/>
      <c r="S43" s="219"/>
      <c r="T43" s="204"/>
      <c r="U43" s="219"/>
      <c r="V43" s="204"/>
      <c r="W43" s="219"/>
      <c r="X43" s="203"/>
      <c r="Y43" s="115"/>
      <c r="Z43" s="82">
        <f t="shared" si="23"/>
        <v>61328016.595411278</v>
      </c>
      <c r="AA43" s="150">
        <f t="shared" si="24"/>
        <v>61576597.468619086</v>
      </c>
      <c r="AB43" s="28">
        <f t="shared" si="25"/>
        <v>64609156.353007108</v>
      </c>
      <c r="AC43" s="150">
        <f t="shared" si="26"/>
        <v>66577852.024218425</v>
      </c>
      <c r="AD43" s="28">
        <f t="shared" si="18"/>
        <v>68673053.105533898</v>
      </c>
      <c r="AE43" s="150">
        <f t="shared" si="29"/>
        <v>68627124.019704148</v>
      </c>
      <c r="AF43" s="28">
        <f t="shared" si="27"/>
        <v>67649824.852059588</v>
      </c>
      <c r="AG43" s="150">
        <f t="shared" si="28"/>
        <v>0</v>
      </c>
      <c r="AH43" s="170">
        <v>65890176</v>
      </c>
      <c r="AI43" s="135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">
        <v>205601.31</v>
      </c>
      <c r="M44" s="219">
        <v>107136.72</v>
      </c>
      <c r="N44" s="219">
        <v>216740.48000000001</v>
      </c>
      <c r="O44" s="203">
        <v>288047.68</v>
      </c>
      <c r="P44" s="205">
        <v>28097.940000000002</v>
      </c>
      <c r="Q44" s="219"/>
      <c r="R44" s="204"/>
      <c r="S44" s="219"/>
      <c r="T44" s="204"/>
      <c r="U44" s="219"/>
      <c r="V44" s="204"/>
      <c r="W44" s="219"/>
      <c r="X44" s="203"/>
      <c r="Y44" s="115"/>
      <c r="Z44" s="82">
        <f t="shared" si="23"/>
        <v>93454785.289826274</v>
      </c>
      <c r="AA44" s="150">
        <f t="shared" si="24"/>
        <v>117584528.47661161</v>
      </c>
      <c r="AB44" s="28">
        <f t="shared" si="25"/>
        <v>110026906.76021402</v>
      </c>
      <c r="AC44" s="150">
        <f t="shared" si="26"/>
        <v>134463282.05755883</v>
      </c>
      <c r="AD44" s="28">
        <f t="shared" si="18"/>
        <v>120146852.86468294</v>
      </c>
      <c r="AE44" s="150">
        <f t="shared" si="29"/>
        <v>141294430.21883404</v>
      </c>
      <c r="AF44" s="28">
        <f t="shared" si="27"/>
        <v>24077246.268189251</v>
      </c>
      <c r="AG44" s="150">
        <f t="shared" si="28"/>
        <v>0</v>
      </c>
      <c r="AH44" s="170">
        <v>10310726.120000001</v>
      </c>
      <c r="AI44" s="135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">
        <v>1346597.2</v>
      </c>
      <c r="M45" s="219">
        <v>1172158.08</v>
      </c>
      <c r="N45" s="219">
        <v>1197598.72</v>
      </c>
      <c r="O45" s="203">
        <v>1194627.3600000001</v>
      </c>
      <c r="P45" s="204">
        <v>1226411.52</v>
      </c>
      <c r="Q45" s="219"/>
      <c r="R45" s="204"/>
      <c r="S45" s="219"/>
      <c r="T45" s="204"/>
      <c r="U45" s="219"/>
      <c r="V45" s="204"/>
      <c r="W45" s="219"/>
      <c r="X45" s="203"/>
      <c r="Y45" s="115"/>
      <c r="Z45" s="82">
        <f t="shared" si="23"/>
        <v>21002054.178961117</v>
      </c>
      <c r="AA45" s="150">
        <f t="shared" si="24"/>
        <v>8600708.2053254899</v>
      </c>
      <c r="AB45" s="28">
        <f t="shared" si="25"/>
        <v>8644793.1771726403</v>
      </c>
      <c r="AC45" s="150">
        <f t="shared" si="26"/>
        <v>9280803.1508363355</v>
      </c>
      <c r="AD45" s="28">
        <f t="shared" si="18"/>
        <v>9160549.8373195138</v>
      </c>
      <c r="AE45" s="150">
        <f t="shared" si="29"/>
        <v>10364425.259056108</v>
      </c>
      <c r="AF45" s="28">
        <f t="shared" si="27"/>
        <v>12335638.592917478</v>
      </c>
      <c r="AG45" s="150">
        <f t="shared" si="28"/>
        <v>0</v>
      </c>
      <c r="AH45" s="170">
        <v>11811503.93</v>
      </c>
      <c r="AI45" s="135"/>
    </row>
    <row r="46" spans="1:37" ht="17.25" x14ac:dyDescent="0.4">
      <c r="A46" s="88" t="s">
        <v>240</v>
      </c>
      <c r="B46" s="89"/>
      <c r="C46" s="90">
        <f t="shared" ref="C46:E46" si="30">SUM(C47:C54)</f>
        <v>84205665.870000005</v>
      </c>
      <c r="D46" s="91">
        <f t="shared" si="30"/>
        <v>95710716.840000004</v>
      </c>
      <c r="E46" s="91">
        <f t="shared" si="30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91">
        <v>20253083.689999998</v>
      </c>
      <c r="M46" s="227">
        <f>SUM(M47:M54)</f>
        <v>18453234.77</v>
      </c>
      <c r="N46" s="227">
        <f>SUM(N47:N54)</f>
        <v>23813972.490000002</v>
      </c>
      <c r="O46" s="227">
        <f>SUM(O47:O54)</f>
        <v>28558432.609999999</v>
      </c>
      <c r="P46" s="227">
        <f>SUM(P47:P54)</f>
        <v>20818631.280000001</v>
      </c>
      <c r="Q46" s="227"/>
      <c r="R46" s="224"/>
      <c r="S46" s="227"/>
      <c r="T46" s="224"/>
      <c r="U46" s="227"/>
      <c r="V46" s="224"/>
      <c r="W46" s="227"/>
      <c r="X46" s="235"/>
      <c r="Y46" s="116">
        <f t="shared" si="22"/>
        <v>91644271.150000006</v>
      </c>
      <c r="Z46" s="90">
        <f t="shared" si="23"/>
        <v>117917243.66159441</v>
      </c>
      <c r="AA46" s="155">
        <f t="shared" si="24"/>
        <v>128773530.45151715</v>
      </c>
      <c r="AB46" s="91">
        <f t="shared" si="25"/>
        <v>129128909.38299564</v>
      </c>
      <c r="AC46" s="155">
        <f t="shared" si="26"/>
        <v>139081069.43544015</v>
      </c>
      <c r="AD46" s="91">
        <f t="shared" si="18"/>
        <v>147838968.58191887</v>
      </c>
      <c r="AE46" s="155">
        <f t="shared" si="29"/>
        <v>153072759.2254945</v>
      </c>
      <c r="AF46" s="91">
        <f t="shared" si="27"/>
        <v>161814551.96001247</v>
      </c>
      <c r="AG46" s="155">
        <f t="shared" si="28"/>
        <v>98384806.216326386</v>
      </c>
      <c r="AH46" s="171">
        <v>172295932.08000004</v>
      </c>
      <c r="AI46" s="135"/>
      <c r="AJ46" s="140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">
        <v>714497.61</v>
      </c>
      <c r="M47" s="219">
        <v>385111.92</v>
      </c>
      <c r="N47" s="219">
        <v>311439.86</v>
      </c>
      <c r="O47" s="203">
        <v>1973703.57</v>
      </c>
      <c r="P47" s="204">
        <v>391602.06</v>
      </c>
      <c r="Q47" s="219"/>
      <c r="R47" s="204"/>
      <c r="S47" s="219"/>
      <c r="T47" s="204"/>
      <c r="U47" s="219"/>
      <c r="V47" s="204"/>
      <c r="W47" s="219"/>
      <c r="X47" s="203"/>
      <c r="Y47" s="115"/>
      <c r="Z47" s="82">
        <f t="shared" si="23"/>
        <v>7593130.4190028477</v>
      </c>
      <c r="AA47" s="150">
        <f t="shared" si="24"/>
        <v>8047618.8268714687</v>
      </c>
      <c r="AB47" s="28">
        <f t="shared" si="25"/>
        <v>7475858.5591593292</v>
      </c>
      <c r="AC47" s="150">
        <f t="shared" si="26"/>
        <v>10161619.564414358</v>
      </c>
      <c r="AD47" s="28">
        <f t="shared" si="18"/>
        <v>6816015.9146641474</v>
      </c>
      <c r="AE47" s="150">
        <f t="shared" si="29"/>
        <v>6093916.9974354506</v>
      </c>
      <c r="AF47" s="28">
        <f t="shared" si="27"/>
        <v>8456768.5467468426</v>
      </c>
      <c r="AG47" s="150">
        <f t="shared" si="28"/>
        <v>0</v>
      </c>
      <c r="AH47" s="172">
        <v>8109295.0300000003</v>
      </c>
      <c r="AI47" s="137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">
        <v>321456.82</v>
      </c>
      <c r="M48" s="219">
        <v>139122.20000000001</v>
      </c>
      <c r="N48" s="219">
        <v>279791.32</v>
      </c>
      <c r="O48" s="203">
        <v>351834.89</v>
      </c>
      <c r="P48" s="204">
        <v>219593.53</v>
      </c>
      <c r="Q48" s="219"/>
      <c r="R48" s="204"/>
      <c r="S48" s="219"/>
      <c r="T48" s="204"/>
      <c r="U48" s="219"/>
      <c r="V48" s="204"/>
      <c r="W48" s="219"/>
      <c r="X48" s="203"/>
      <c r="Y48" s="115"/>
      <c r="Z48" s="82">
        <f t="shared" si="23"/>
        <v>4205248.67156401</v>
      </c>
      <c r="AA48" s="150">
        <f t="shared" si="24"/>
        <v>2680363.0866423715</v>
      </c>
      <c r="AB48" s="28">
        <f t="shared" si="25"/>
        <v>2841328.545993221</v>
      </c>
      <c r="AC48" s="150">
        <f t="shared" si="26"/>
        <v>2472477.2703267299</v>
      </c>
      <c r="AD48" s="28">
        <f t="shared" si="18"/>
        <v>2568876.0746822525</v>
      </c>
      <c r="AE48" s="150">
        <f t="shared" si="29"/>
        <v>2568930.8070502817</v>
      </c>
      <c r="AF48" s="28">
        <f t="shared" si="27"/>
        <v>4117347.8617637395</v>
      </c>
      <c r="AG48" s="150">
        <f t="shared" ref="AG48:AG54" si="31">$AG$6*Y48</f>
        <v>0</v>
      </c>
      <c r="AH48" s="170">
        <v>2795944.8100000005</v>
      </c>
      <c r="AI48" s="135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">
        <v>75489.66</v>
      </c>
      <c r="M49" s="219">
        <v>108520.09</v>
      </c>
      <c r="N49" s="219">
        <v>3056398.1</v>
      </c>
      <c r="O49" s="203">
        <v>2870386.9</v>
      </c>
      <c r="P49" s="204">
        <v>456599.91000000003</v>
      </c>
      <c r="Q49" s="219"/>
      <c r="R49" s="204"/>
      <c r="S49" s="219"/>
      <c r="T49" s="204"/>
      <c r="U49" s="219"/>
      <c r="V49" s="204"/>
      <c r="W49" s="219"/>
      <c r="X49" s="203"/>
      <c r="Y49" s="115"/>
      <c r="Z49" s="82">
        <f t="shared" si="23"/>
        <v>16050767.553970486</v>
      </c>
      <c r="AA49" s="150">
        <f t="shared" si="24"/>
        <v>15870042.811280049</v>
      </c>
      <c r="AB49" s="28">
        <f t="shared" si="25"/>
        <v>8390083.3446750827</v>
      </c>
      <c r="AC49" s="150">
        <f t="shared" si="26"/>
        <v>6256823.0293061547</v>
      </c>
      <c r="AD49" s="28">
        <f t="shared" si="18"/>
        <v>28741160.210472312</v>
      </c>
      <c r="AE49" s="150">
        <f t="shared" si="29"/>
        <v>23305351.164171617</v>
      </c>
      <c r="AF49" s="28">
        <f t="shared" si="27"/>
        <v>13067295.335007835</v>
      </c>
      <c r="AG49" s="150">
        <f t="shared" si="31"/>
        <v>0</v>
      </c>
      <c r="AH49" s="170">
        <v>17206190.91</v>
      </c>
      <c r="AI49" s="135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"/>
      <c r="M50" s="219"/>
      <c r="N50" s="219">
        <v>374164.73</v>
      </c>
      <c r="O50" s="203">
        <v>492514.55</v>
      </c>
      <c r="P50" s="204">
        <v>694244.69000000006</v>
      </c>
      <c r="Q50" s="219"/>
      <c r="R50" s="204"/>
      <c r="S50" s="219"/>
      <c r="T50" s="204"/>
      <c r="U50" s="219"/>
      <c r="V50" s="204"/>
      <c r="W50" s="219"/>
      <c r="X50" s="203"/>
      <c r="Y50" s="115"/>
      <c r="Z50" s="82">
        <f t="shared" si="23"/>
        <v>5262380.7176393624</v>
      </c>
      <c r="AA50" s="150">
        <f t="shared" si="24"/>
        <v>4350647.5663525369</v>
      </c>
      <c r="AB50" s="28">
        <f t="shared" si="25"/>
        <v>2833512.2871006513</v>
      </c>
      <c r="AC50" s="150">
        <f t="shared" si="26"/>
        <v>4903438.2615157943</v>
      </c>
      <c r="AD50" s="28">
        <f t="shared" si="18"/>
        <v>768872.20950561343</v>
      </c>
      <c r="AE50" s="150">
        <f t="shared" si="29"/>
        <v>304002.44082624739</v>
      </c>
      <c r="AF50" s="28">
        <f t="shared" si="27"/>
        <v>970270.48719617876</v>
      </c>
      <c r="AG50" s="150">
        <f t="shared" si="31"/>
        <v>0</v>
      </c>
      <c r="AH50" s="170">
        <v>3979907.0600000005</v>
      </c>
      <c r="AI50" s="135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">
        <v>18540114.84</v>
      </c>
      <c r="M51" s="219">
        <v>17515329.609999999</v>
      </c>
      <c r="N51" s="219">
        <v>17465855.640000001</v>
      </c>
      <c r="O51" s="203">
        <v>21979193.07</v>
      </c>
      <c r="P51" s="204">
        <v>17441954.359999999</v>
      </c>
      <c r="Q51" s="219"/>
      <c r="R51" s="204"/>
      <c r="S51" s="219"/>
      <c r="T51" s="204"/>
      <c r="U51" s="219"/>
      <c r="V51" s="204"/>
      <c r="W51" s="219"/>
      <c r="X51" s="203"/>
      <c r="Y51" s="115"/>
      <c r="Z51" s="82">
        <f t="shared" si="23"/>
        <v>82742908.782156989</v>
      </c>
      <c r="AA51" s="150">
        <f t="shared" si="24"/>
        <v>96329034.661563426</v>
      </c>
      <c r="AB51" s="28">
        <f t="shared" si="25"/>
        <v>105982563.27887511</v>
      </c>
      <c r="AC51" s="150">
        <f t="shared" si="26"/>
        <v>110327363.96850727</v>
      </c>
      <c r="AD51" s="28">
        <f t="shared" si="18"/>
        <v>105968900.88240662</v>
      </c>
      <c r="AE51" s="150">
        <f t="shared" si="29"/>
        <v>120274635.29595302</v>
      </c>
      <c r="AF51" s="28">
        <f t="shared" si="27"/>
        <v>131647405.54954897</v>
      </c>
      <c r="AG51" s="150">
        <f t="shared" si="31"/>
        <v>0</v>
      </c>
      <c r="AH51" s="170">
        <v>130519484.03</v>
      </c>
      <c r="AI51" s="135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">
        <v>195593.97</v>
      </c>
      <c r="M52" s="219"/>
      <c r="N52" s="219">
        <v>14546.4</v>
      </c>
      <c r="O52" s="203">
        <v>14655</v>
      </c>
      <c r="P52" s="204"/>
      <c r="Q52" s="219"/>
      <c r="R52" s="204"/>
      <c r="S52" s="219"/>
      <c r="T52" s="204"/>
      <c r="U52" s="219"/>
      <c r="V52" s="204"/>
      <c r="W52" s="219"/>
      <c r="X52" s="203"/>
      <c r="Y52" s="115"/>
      <c r="Z52" s="82">
        <f t="shared" si="23"/>
        <v>9616.4704275724416</v>
      </c>
      <c r="AA52" s="150">
        <f t="shared" si="24"/>
        <v>0</v>
      </c>
      <c r="AB52" s="28">
        <f t="shared" si="25"/>
        <v>0</v>
      </c>
      <c r="AC52" s="150">
        <f t="shared" si="26"/>
        <v>0</v>
      </c>
      <c r="AD52" s="28">
        <f t="shared" si="18"/>
        <v>0</v>
      </c>
      <c r="AE52" s="150">
        <f t="shared" si="29"/>
        <v>0</v>
      </c>
      <c r="AF52" s="28">
        <f t="shared" si="27"/>
        <v>0</v>
      </c>
      <c r="AG52" s="150">
        <f t="shared" si="31"/>
        <v>0</v>
      </c>
      <c r="AH52" s="170">
        <v>2493152.52</v>
      </c>
      <c r="AI52" s="135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"/>
      <c r="M53" s="219"/>
      <c r="N53" s="219"/>
      <c r="O53" s="203"/>
      <c r="P53" s="204"/>
      <c r="Q53" s="219"/>
      <c r="R53" s="204"/>
      <c r="S53" s="219"/>
      <c r="T53" s="204"/>
      <c r="U53" s="219"/>
      <c r="V53" s="204"/>
      <c r="W53" s="219"/>
      <c r="X53" s="203"/>
      <c r="Y53" s="115">
        <f t="shared" si="22"/>
        <v>0</v>
      </c>
      <c r="Z53" s="82">
        <f t="shared" si="23"/>
        <v>1061686.0901032104</v>
      </c>
      <c r="AA53" s="150">
        <f t="shared" si="24"/>
        <v>0</v>
      </c>
      <c r="AB53" s="28">
        <f t="shared" si="25"/>
        <v>955096.43129311083</v>
      </c>
      <c r="AC53" s="150">
        <f t="shared" si="26"/>
        <v>764727.74647885794</v>
      </c>
      <c r="AD53" s="28">
        <f t="shared" si="18"/>
        <v>2070408.7625159658</v>
      </c>
      <c r="AE53" s="150">
        <f t="shared" si="29"/>
        <v>0</v>
      </c>
      <c r="AF53" s="28">
        <f t="shared" si="27"/>
        <v>935914.00663620746</v>
      </c>
      <c r="AG53" s="150">
        <f t="shared" si="31"/>
        <v>0</v>
      </c>
      <c r="AH53" s="170">
        <v>0</v>
      </c>
      <c r="AI53" s="135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">
        <v>405930.79000000004</v>
      </c>
      <c r="M54" s="219">
        <v>305150.95</v>
      </c>
      <c r="N54" s="219">
        <v>2311776.44</v>
      </c>
      <c r="O54" s="203">
        <v>876144.63</v>
      </c>
      <c r="P54" s="204">
        <v>1614636.73</v>
      </c>
      <c r="Q54" s="219"/>
      <c r="R54" s="204"/>
      <c r="S54" s="219"/>
      <c r="T54" s="204"/>
      <c r="U54" s="219"/>
      <c r="V54" s="204"/>
      <c r="W54" s="219"/>
      <c r="X54" s="203"/>
      <c r="Y54" s="115"/>
      <c r="Z54" s="82">
        <f t="shared" si="23"/>
        <v>991504.95672992675</v>
      </c>
      <c r="AA54" s="150">
        <f t="shared" si="24"/>
        <v>1495823.4988073031</v>
      </c>
      <c r="AB54" s="28">
        <f t="shared" si="25"/>
        <v>650466.9358991147</v>
      </c>
      <c r="AC54" s="150">
        <f t="shared" si="26"/>
        <v>4194619.594890994</v>
      </c>
      <c r="AD54" s="28">
        <f t="shared" si="18"/>
        <v>904734.52767192759</v>
      </c>
      <c r="AE54" s="150">
        <f t="shared" si="29"/>
        <v>525922.52005785296</v>
      </c>
      <c r="AF54" s="28">
        <f t="shared" si="27"/>
        <v>2619550.1731126928</v>
      </c>
      <c r="AG54" s="150">
        <f t="shared" si="31"/>
        <v>0</v>
      </c>
      <c r="AH54" s="170">
        <v>7191957.7200000007</v>
      </c>
      <c r="AI54" s="135"/>
    </row>
    <row r="55" spans="1:36" ht="17.25" x14ac:dyDescent="0.4">
      <c r="A55" s="88" t="s">
        <v>241</v>
      </c>
      <c r="B55" s="89"/>
      <c r="C55" s="90">
        <f t="shared" ref="C55:E55" si="32">SUM(C56:C64)</f>
        <v>222882216.59999996</v>
      </c>
      <c r="D55" s="91">
        <f t="shared" si="32"/>
        <v>301845864.29000002</v>
      </c>
      <c r="E55" s="91">
        <f t="shared" si="32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91">
        <v>33477012.060000002</v>
      </c>
      <c r="M55" s="227">
        <f>SUM(M56:M64)</f>
        <v>46463321.239999995</v>
      </c>
      <c r="N55" s="227">
        <f>SUM(N56:N64)</f>
        <v>31008057.09</v>
      </c>
      <c r="O55" s="227">
        <f>SUM(O56:O64)</f>
        <v>32893165.23</v>
      </c>
      <c r="P55" s="227">
        <f>SUM(P56:P64)</f>
        <v>31706133.550000001</v>
      </c>
      <c r="Q55" s="227"/>
      <c r="R55" s="224"/>
      <c r="S55" s="227"/>
      <c r="T55" s="224"/>
      <c r="U55" s="227"/>
      <c r="V55" s="224"/>
      <c r="W55" s="227"/>
      <c r="X55" s="235"/>
      <c r="Y55" s="116">
        <f t="shared" si="22"/>
        <v>142070677.11000001</v>
      </c>
      <c r="Z55" s="90">
        <f t="shared" si="23"/>
        <v>312112687.08726925</v>
      </c>
      <c r="AA55" s="155">
        <f t="shared" si="24"/>
        <v>406117087.82613724</v>
      </c>
      <c r="AB55" s="91">
        <f t="shared" si="25"/>
        <v>405031884.71898937</v>
      </c>
      <c r="AC55" s="155">
        <f t="shared" si="26"/>
        <v>415246335.12994128</v>
      </c>
      <c r="AD55" s="91">
        <f t="shared" si="18"/>
        <v>453465928.68421775</v>
      </c>
      <c r="AE55" s="155">
        <f t="shared" si="29"/>
        <v>427597393.71727121</v>
      </c>
      <c r="AF55" s="91">
        <f t="shared" si="27"/>
        <v>425202510.00072002</v>
      </c>
      <c r="AG55" s="155">
        <f>$AG$6*Y55</f>
        <v>152520128.76627725</v>
      </c>
      <c r="AH55" s="171">
        <v>368428288.85000002</v>
      </c>
      <c r="AI55" s="135"/>
      <c r="AJ55" s="140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">
        <v>9638907.9600000009</v>
      </c>
      <c r="M56" s="219">
        <v>5754017.29</v>
      </c>
      <c r="N56" s="219">
        <v>4437987.25</v>
      </c>
      <c r="O56" s="203">
        <v>175874.46</v>
      </c>
      <c r="P56" s="204">
        <v>937384.24</v>
      </c>
      <c r="Q56" s="219"/>
      <c r="R56" s="204"/>
      <c r="S56" s="219"/>
      <c r="T56" s="204"/>
      <c r="U56" s="219"/>
      <c r="V56" s="204"/>
      <c r="W56" s="219"/>
      <c r="X56" s="203"/>
      <c r="Y56" s="115"/>
      <c r="Z56" s="82">
        <f t="shared" si="23"/>
        <v>92960827.077473477</v>
      </c>
      <c r="AA56" s="150">
        <f t="shared" si="24"/>
        <v>87735264.29854691</v>
      </c>
      <c r="AB56" s="28">
        <f t="shared" si="25"/>
        <v>75408335.875825346</v>
      </c>
      <c r="AC56" s="150">
        <f t="shared" si="26"/>
        <v>91112811.156459168</v>
      </c>
      <c r="AD56" s="28">
        <f t="shared" si="18"/>
        <v>117784802.01780432</v>
      </c>
      <c r="AE56" s="150">
        <f t="shared" si="29"/>
        <v>113419067.85758108</v>
      </c>
      <c r="AF56" s="28">
        <f t="shared" si="27"/>
        <v>129358023.64475769</v>
      </c>
      <c r="AG56" s="150">
        <f>$AG$6*Y56</f>
        <v>0</v>
      </c>
      <c r="AH56" s="173">
        <v>91141632.600000009</v>
      </c>
      <c r="AI56" s="137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">
        <v>488030.01</v>
      </c>
      <c r="M57" s="219">
        <v>14404053.92</v>
      </c>
      <c r="N57" s="219">
        <v>5852736.0800000001</v>
      </c>
      <c r="O57" s="203">
        <v>4884113.43</v>
      </c>
      <c r="P57" s="204">
        <v>6408939.2999999998</v>
      </c>
      <c r="Q57" s="219"/>
      <c r="R57" s="204"/>
      <c r="S57" s="219"/>
      <c r="T57" s="204"/>
      <c r="U57" s="219"/>
      <c r="V57" s="204"/>
      <c r="W57" s="219"/>
      <c r="X57" s="203"/>
      <c r="Y57" s="115"/>
      <c r="Z57" s="82">
        <f t="shared" si="23"/>
        <v>3308724.8869116371</v>
      </c>
      <c r="AA57" s="150">
        <f t="shared" si="24"/>
        <v>44694565.679588869</v>
      </c>
      <c r="AB57" s="28">
        <f t="shared" si="25"/>
        <v>54716785.785931051</v>
      </c>
      <c r="AC57" s="150">
        <f t="shared" si="26"/>
        <v>55253078.498498738</v>
      </c>
      <c r="AD57" s="28">
        <f t="shared" si="18"/>
        <v>47548052.658380218</v>
      </c>
      <c r="AE57" s="150">
        <f t="shared" si="29"/>
        <v>43512385.579893231</v>
      </c>
      <c r="AF57" s="28">
        <f t="shared" si="27"/>
        <v>47053037.06890291</v>
      </c>
      <c r="AG57" s="150">
        <f t="shared" ref="AG57:AG64" si="33">$AG$6*Y57</f>
        <v>0</v>
      </c>
      <c r="AH57" s="170">
        <v>27767996.059999999</v>
      </c>
      <c r="AI57" s="135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">
        <v>3017241.37</v>
      </c>
      <c r="M58" s="219">
        <v>9043224.5899999999</v>
      </c>
      <c r="N58" s="219">
        <v>4013303.5300000003</v>
      </c>
      <c r="O58" s="203">
        <v>1736014.57</v>
      </c>
      <c r="P58" s="204">
        <v>2393626.9700000002</v>
      </c>
      <c r="Q58" s="219"/>
      <c r="R58" s="204"/>
      <c r="S58" s="219"/>
      <c r="T58" s="204"/>
      <c r="U58" s="219"/>
      <c r="V58" s="204"/>
      <c r="W58" s="219"/>
      <c r="X58" s="203"/>
      <c r="Y58" s="115"/>
      <c r="Z58" s="82">
        <f t="shared" si="23"/>
        <v>31713823.545997765</v>
      </c>
      <c r="AA58" s="150">
        <f t="shared" si="24"/>
        <v>62430478.679897852</v>
      </c>
      <c r="AB58" s="28">
        <f t="shared" si="25"/>
        <v>67591667.134910375</v>
      </c>
      <c r="AC58" s="150">
        <f t="shared" si="26"/>
        <v>67040159.873310708</v>
      </c>
      <c r="AD58" s="28">
        <f t="shared" si="18"/>
        <v>78883176.53015849</v>
      </c>
      <c r="AE58" s="150">
        <f t="shared" si="29"/>
        <v>59926970.335442834</v>
      </c>
      <c r="AF58" s="28">
        <f t="shared" si="27"/>
        <v>38001618.961890616</v>
      </c>
      <c r="AG58" s="150">
        <f t="shared" si="33"/>
        <v>0</v>
      </c>
      <c r="AH58" s="170">
        <v>63793384.219999999</v>
      </c>
      <c r="AI58" s="135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">
        <v>215529.89</v>
      </c>
      <c r="M59" s="219">
        <v>3945069.36</v>
      </c>
      <c r="N59" s="219">
        <v>1018863.01</v>
      </c>
      <c r="O59" s="203">
        <v>619840.76</v>
      </c>
      <c r="P59" s="204">
        <v>121797.12</v>
      </c>
      <c r="Q59" s="219"/>
      <c r="R59" s="204"/>
      <c r="S59" s="219"/>
      <c r="T59" s="204"/>
      <c r="U59" s="219"/>
      <c r="V59" s="204"/>
      <c r="W59" s="219"/>
      <c r="X59" s="203"/>
      <c r="Y59" s="115"/>
      <c r="Z59" s="82">
        <f t="shared" si="23"/>
        <v>13927208.007189158</v>
      </c>
      <c r="AA59" s="150">
        <f t="shared" si="24"/>
        <v>13338528.042637957</v>
      </c>
      <c r="AB59" s="28">
        <f t="shared" si="25"/>
        <v>9469529.6031530388</v>
      </c>
      <c r="AC59" s="150">
        <f t="shared" si="26"/>
        <v>10954820.368096013</v>
      </c>
      <c r="AD59" s="28">
        <f t="shared" si="18"/>
        <v>10988895.97444585</v>
      </c>
      <c r="AE59" s="150">
        <f t="shared" si="29"/>
        <v>11252577.768580476</v>
      </c>
      <c r="AF59" s="28">
        <f t="shared" si="27"/>
        <v>12531219.590171995</v>
      </c>
      <c r="AG59" s="150">
        <f t="shared" si="33"/>
        <v>0</v>
      </c>
      <c r="AH59" s="170">
        <v>10402796.41</v>
      </c>
      <c r="AI59" s="135"/>
    </row>
    <row r="60" spans="1:36" ht="15" customHeight="1" x14ac:dyDescent="0.25">
      <c r="A60" s="17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">
        <v>15876930.470000001</v>
      </c>
      <c r="M60" s="219">
        <v>11569852.16</v>
      </c>
      <c r="N60" s="219">
        <v>13857642.550000001</v>
      </c>
      <c r="O60" s="203">
        <v>16649443.640000001</v>
      </c>
      <c r="P60" s="204">
        <v>15523025.640000001</v>
      </c>
      <c r="Q60" s="219"/>
      <c r="R60" s="204"/>
      <c r="S60" s="219"/>
      <c r="T60" s="204"/>
      <c r="U60" s="219"/>
      <c r="V60" s="204"/>
      <c r="W60" s="219"/>
      <c r="X60" s="203"/>
      <c r="Y60" s="115"/>
      <c r="Z60" s="82">
        <f t="shared" si="23"/>
        <v>130167747.52570854</v>
      </c>
      <c r="AA60" s="150">
        <f t="shared" si="24"/>
        <v>152370249.59043401</v>
      </c>
      <c r="AB60" s="28">
        <f t="shared" si="25"/>
        <v>154180186.57196429</v>
      </c>
      <c r="AC60" s="150">
        <f t="shared" si="26"/>
        <v>149489568.74754286</v>
      </c>
      <c r="AD60" s="28">
        <f t="shared" si="18"/>
        <v>148445691.04252484</v>
      </c>
      <c r="AE60" s="150">
        <f t="shared" si="29"/>
        <v>158111111.20288685</v>
      </c>
      <c r="AF60" s="28">
        <f t="shared" si="27"/>
        <v>157334554.72262165</v>
      </c>
      <c r="AG60" s="150">
        <f t="shared" si="33"/>
        <v>0</v>
      </c>
      <c r="AH60" s="170">
        <v>148948140.15000001</v>
      </c>
      <c r="AI60" s="135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">
        <v>2461471.87</v>
      </c>
      <c r="M61" s="219">
        <v>261626.4</v>
      </c>
      <c r="N61" s="219">
        <v>287213.40000000002</v>
      </c>
      <c r="O61" s="203">
        <v>4119637.21</v>
      </c>
      <c r="P61" s="204">
        <v>2635081.2400000002</v>
      </c>
      <c r="Q61" s="219"/>
      <c r="R61" s="204"/>
      <c r="S61" s="219"/>
      <c r="T61" s="204"/>
      <c r="U61" s="219"/>
      <c r="V61" s="204"/>
      <c r="W61" s="219"/>
      <c r="X61" s="203"/>
      <c r="Y61" s="115"/>
      <c r="Z61" s="82">
        <f t="shared" si="23"/>
        <v>18457992.477269113</v>
      </c>
      <c r="AA61" s="150">
        <f t="shared" si="24"/>
        <v>17816759.850809127</v>
      </c>
      <c r="AB61" s="28">
        <f t="shared" si="25"/>
        <v>15123888.347169727</v>
      </c>
      <c r="AC61" s="150">
        <f t="shared" si="26"/>
        <v>16827685.882520925</v>
      </c>
      <c r="AD61" s="28">
        <f t="shared" si="18"/>
        <v>25820391.518072948</v>
      </c>
      <c r="AE61" s="150">
        <f t="shared" si="29"/>
        <v>12159518.448997092</v>
      </c>
      <c r="AF61" s="28">
        <f t="shared" si="27"/>
        <v>12218654.099620895</v>
      </c>
      <c r="AG61" s="150">
        <f t="shared" si="33"/>
        <v>0</v>
      </c>
      <c r="AH61" s="170">
        <v>12451407.359999998</v>
      </c>
      <c r="AI61" s="135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">
        <v>112902.83</v>
      </c>
      <c r="M62" s="219">
        <v>179410.04</v>
      </c>
      <c r="N62" s="219">
        <v>128641.61</v>
      </c>
      <c r="O62" s="203">
        <v>171414</v>
      </c>
      <c r="P62" s="204">
        <v>37826.01</v>
      </c>
      <c r="Q62" s="219"/>
      <c r="R62" s="204"/>
      <c r="S62" s="219"/>
      <c r="T62" s="204"/>
      <c r="U62" s="219"/>
      <c r="V62" s="204"/>
      <c r="W62" s="219"/>
      <c r="X62" s="203"/>
      <c r="Y62" s="115"/>
      <c r="Z62" s="82">
        <f t="shared" si="23"/>
        <v>4484993.3534891717</v>
      </c>
      <c r="AA62" s="150">
        <f t="shared" si="24"/>
        <v>5919093.0742316283</v>
      </c>
      <c r="AB62" s="28">
        <f t="shared" si="25"/>
        <v>5224778.2376358872</v>
      </c>
      <c r="AC62" s="150">
        <f t="shared" si="26"/>
        <v>4398213.4579453953</v>
      </c>
      <c r="AD62" s="28">
        <f t="shared" si="18"/>
        <v>2696744.6724459482</v>
      </c>
      <c r="AE62" s="150">
        <f t="shared" si="29"/>
        <v>3356613.9564958271</v>
      </c>
      <c r="AF62" s="28">
        <f t="shared" si="27"/>
        <v>2269581.5869794399</v>
      </c>
      <c r="AG62" s="150">
        <f t="shared" si="33"/>
        <v>0</v>
      </c>
      <c r="AH62" s="170">
        <v>986341.82000000007</v>
      </c>
      <c r="AI62" s="135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">
        <v>1650047.6600000001</v>
      </c>
      <c r="M63" s="219">
        <v>604660.47999999998</v>
      </c>
      <c r="N63" s="219">
        <v>765621.66</v>
      </c>
      <c r="O63" s="203">
        <v>3801278.16</v>
      </c>
      <c r="P63" s="204">
        <v>2929792.0300000003</v>
      </c>
      <c r="Q63" s="219"/>
      <c r="R63" s="204"/>
      <c r="S63" s="219"/>
      <c r="T63" s="204"/>
      <c r="U63" s="219"/>
      <c r="V63" s="204"/>
      <c r="W63" s="219"/>
      <c r="X63" s="203"/>
      <c r="Y63" s="115"/>
      <c r="Z63" s="82">
        <f t="shared" si="23"/>
        <v>11623250.353696404</v>
      </c>
      <c r="AA63" s="150">
        <f t="shared" si="24"/>
        <v>15128152.265783129</v>
      </c>
      <c r="AB63" s="28">
        <f t="shared" si="25"/>
        <v>13542980.471594607</v>
      </c>
      <c r="AC63" s="150">
        <f t="shared" si="26"/>
        <v>15326830.468044698</v>
      </c>
      <c r="AD63" s="28">
        <f t="shared" si="18"/>
        <v>11974355.342953216</v>
      </c>
      <c r="AE63" s="150">
        <f t="shared" si="29"/>
        <v>13141721.332332753</v>
      </c>
      <c r="AF63" s="28">
        <f t="shared" si="27"/>
        <v>10331878.302645799</v>
      </c>
      <c r="AG63" s="150">
        <f t="shared" si="33"/>
        <v>0</v>
      </c>
      <c r="AH63" s="170">
        <v>4514546.2300000004</v>
      </c>
      <c r="AI63" s="135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">
        <v>15950</v>
      </c>
      <c r="M64" s="219">
        <v>701407</v>
      </c>
      <c r="N64" s="219">
        <v>646048</v>
      </c>
      <c r="O64" s="203">
        <v>735549</v>
      </c>
      <c r="P64" s="204">
        <v>718661</v>
      </c>
      <c r="Q64" s="219"/>
      <c r="R64" s="204"/>
      <c r="S64" s="219"/>
      <c r="T64" s="204"/>
      <c r="U64" s="219"/>
      <c r="V64" s="204"/>
      <c r="W64" s="219"/>
      <c r="X64" s="203"/>
      <c r="Y64" s="115"/>
      <c r="Z64" s="82">
        <f t="shared" si="23"/>
        <v>5468119.8595340131</v>
      </c>
      <c r="AA64" s="150">
        <f t="shared" si="24"/>
        <v>6683996.3442077199</v>
      </c>
      <c r="AB64" s="28">
        <f t="shared" si="25"/>
        <v>9773732.6908051316</v>
      </c>
      <c r="AC64" s="150">
        <f t="shared" si="26"/>
        <v>4843166.677522786</v>
      </c>
      <c r="AD64" s="28">
        <f t="shared" si="18"/>
        <v>9323818.9274318609</v>
      </c>
      <c r="AE64" s="150">
        <f t="shared" si="29"/>
        <v>12717427.235061156</v>
      </c>
      <c r="AF64" s="28">
        <f t="shared" si="27"/>
        <v>16103942.023129119</v>
      </c>
      <c r="AG64" s="150">
        <f t="shared" si="33"/>
        <v>0</v>
      </c>
      <c r="AH64" s="170">
        <v>8422044</v>
      </c>
      <c r="AI64" s="135"/>
    </row>
    <row r="65" spans="1:36" ht="17.25" x14ac:dyDescent="0.4">
      <c r="A65" s="88" t="s">
        <v>242</v>
      </c>
      <c r="B65" s="89"/>
      <c r="C65" s="90">
        <f t="shared" ref="C65:E65" si="34">SUM(C66:C73)</f>
        <v>148044723.47000003</v>
      </c>
      <c r="D65" s="91">
        <f t="shared" si="34"/>
        <v>149493282.65000004</v>
      </c>
      <c r="E65" s="91">
        <f t="shared" si="34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91">
        <v>72887338.629999995</v>
      </c>
      <c r="M65" s="227">
        <f>SUM(M66:M74)</f>
        <v>34012106.039999999</v>
      </c>
      <c r="N65" s="227">
        <f>SUM(N66:N74)</f>
        <v>57290978.439999998</v>
      </c>
      <c r="O65" s="227">
        <f>SUM(O66:O74)</f>
        <v>55347156.299999997</v>
      </c>
      <c r="P65" s="227">
        <f>SUM(P66:P74)</f>
        <v>47369915.049999997</v>
      </c>
      <c r="Q65" s="227"/>
      <c r="R65" s="224"/>
      <c r="S65" s="227"/>
      <c r="T65" s="224"/>
      <c r="U65" s="227"/>
      <c r="V65" s="224"/>
      <c r="W65" s="227"/>
      <c r="X65" s="235"/>
      <c r="Y65" s="116">
        <f>SUM(M65:X65)</f>
        <v>194020155.82999998</v>
      </c>
      <c r="Z65" s="90">
        <f t="shared" si="23"/>
        <v>207314146.26156151</v>
      </c>
      <c r="AA65" s="155">
        <f t="shared" si="24"/>
        <v>201135028.77434975</v>
      </c>
      <c r="AB65" s="91">
        <f t="shared" si="25"/>
        <v>208035753.38238606</v>
      </c>
      <c r="AC65" s="155">
        <f t="shared" si="26"/>
        <v>225591503.52323747</v>
      </c>
      <c r="AD65" s="91">
        <f t="shared" si="18"/>
        <v>229368050.89210778</v>
      </c>
      <c r="AE65" s="155">
        <f t="shared" si="29"/>
        <v>247222249.49470782</v>
      </c>
      <c r="AF65" s="91">
        <f t="shared" si="27"/>
        <v>451723710.84819037</v>
      </c>
      <c r="AG65" s="155">
        <f>$AG$6*Y65</f>
        <v>208290547.721771</v>
      </c>
      <c r="AH65" s="174">
        <v>450705998.60000002</v>
      </c>
      <c r="AI65" s="135"/>
      <c r="AJ65" s="140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"/>
      <c r="M66" s="219">
        <v>32192.16</v>
      </c>
      <c r="N66" s="219">
        <v>29101416.52</v>
      </c>
      <c r="O66" s="203">
        <v>25956315.59</v>
      </c>
      <c r="P66" s="204">
        <v>17641234.390000001</v>
      </c>
      <c r="Q66" s="219"/>
      <c r="R66" s="204"/>
      <c r="S66" s="219"/>
      <c r="T66" s="204"/>
      <c r="U66" s="219"/>
      <c r="V66" s="204"/>
      <c r="W66" s="219"/>
      <c r="X66" s="203"/>
      <c r="Y66" s="115">
        <f t="shared" si="22"/>
        <v>72731158.659999996</v>
      </c>
      <c r="Z66" s="82">
        <f t="shared" si="23"/>
        <v>1848719.9481440983</v>
      </c>
      <c r="AA66" s="150">
        <f t="shared" si="24"/>
        <v>1827519.644202742</v>
      </c>
      <c r="AB66" s="28">
        <f t="shared" si="25"/>
        <v>1851186.3463737394</v>
      </c>
      <c r="AC66" s="150">
        <f t="shared" si="26"/>
        <v>2057214.8094337804</v>
      </c>
      <c r="AD66" s="28">
        <f t="shared" si="18"/>
        <v>1970497.004015757</v>
      </c>
      <c r="AE66" s="150">
        <f t="shared" si="29"/>
        <v>1814938.7725490199</v>
      </c>
      <c r="AF66" s="28">
        <f t="shared" si="27"/>
        <v>1341931.5853267128</v>
      </c>
      <c r="AG66" s="150">
        <f>$AG$6*Y66</f>
        <v>78080613.887374327</v>
      </c>
      <c r="AH66" s="175">
        <v>0</v>
      </c>
      <c r="AI66" s="137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">
        <v>29934088.990000002</v>
      </c>
      <c r="M67" s="219">
        <v>9526708.7899999991</v>
      </c>
      <c r="N67" s="219"/>
      <c r="O67" s="203">
        <v>-9526708.790000001</v>
      </c>
      <c r="P67" s="204"/>
      <c r="Q67" s="219"/>
      <c r="R67" s="204"/>
      <c r="S67" s="219"/>
      <c r="T67" s="204"/>
      <c r="U67" s="219"/>
      <c r="V67" s="204"/>
      <c r="W67" s="219"/>
      <c r="X67" s="203"/>
      <c r="Y67" s="115">
        <f>SUM(M67:X67)</f>
        <v>0</v>
      </c>
      <c r="Z67" s="82">
        <f t="shared" si="23"/>
        <v>77010280.518076748</v>
      </c>
      <c r="AA67" s="150">
        <f t="shared" si="24"/>
        <v>81048606.63670294</v>
      </c>
      <c r="AB67" s="28">
        <f t="shared" si="25"/>
        <v>77738635.715745956</v>
      </c>
      <c r="AC67" s="150">
        <f t="shared" si="26"/>
        <v>78091824.866147771</v>
      </c>
      <c r="AD67" s="28">
        <f t="shared" si="18"/>
        <v>91310480.479115307</v>
      </c>
      <c r="AE67" s="150">
        <f t="shared" si="29"/>
        <v>95805197.972853035</v>
      </c>
      <c r="AF67" s="28">
        <f t="shared" si="27"/>
        <v>185230179.21460116</v>
      </c>
      <c r="AG67" s="150">
        <f t="shared" ref="AG67:AG73" si="35">$AG$6*Y67</f>
        <v>0</v>
      </c>
      <c r="AH67" s="170">
        <v>159011183.81999999</v>
      </c>
      <c r="AI67" s="135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">
        <v>241915.51</v>
      </c>
      <c r="M68" s="219"/>
      <c r="N68" s="219">
        <v>372541.43</v>
      </c>
      <c r="O68" s="203">
        <v>65743.839999999997</v>
      </c>
      <c r="P68" s="204"/>
      <c r="Q68" s="219"/>
      <c r="R68" s="204"/>
      <c r="S68" s="219"/>
      <c r="T68" s="204"/>
      <c r="U68" s="219"/>
      <c r="V68" s="204"/>
      <c r="W68" s="219"/>
      <c r="X68" s="203"/>
      <c r="Y68" s="115"/>
      <c r="Z68" s="82">
        <f t="shared" si="23"/>
        <v>6529754.9489596589</v>
      </c>
      <c r="AA68" s="150">
        <f t="shared" si="24"/>
        <v>15355067.663646482</v>
      </c>
      <c r="AB68" s="28">
        <f t="shared" si="25"/>
        <v>11711514.192257063</v>
      </c>
      <c r="AC68" s="150">
        <f t="shared" si="26"/>
        <v>18820274.531500388</v>
      </c>
      <c r="AD68" s="28">
        <f t="shared" si="18"/>
        <v>1527816.4326829542</v>
      </c>
      <c r="AE68" s="150">
        <f t="shared" si="29"/>
        <v>1362911.9458823532</v>
      </c>
      <c r="AF68" s="28">
        <f t="shared" si="27"/>
        <v>2294677.9511541151</v>
      </c>
      <c r="AG68" s="150">
        <f t="shared" si="35"/>
        <v>0</v>
      </c>
      <c r="AH68" s="170">
        <v>5487015.6399999997</v>
      </c>
      <c r="AI68" s="135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">
        <v>706731.47</v>
      </c>
      <c r="M69" s="219">
        <v>1895255.1600000001</v>
      </c>
      <c r="N69" s="219">
        <v>2692217.74</v>
      </c>
      <c r="O69" s="203">
        <v>7743972.2599999998</v>
      </c>
      <c r="P69" s="204">
        <v>3877264.2800000003</v>
      </c>
      <c r="Q69" s="219"/>
      <c r="R69" s="204"/>
      <c r="S69" s="219"/>
      <c r="T69" s="204"/>
      <c r="U69" s="219"/>
      <c r="V69" s="204"/>
      <c r="W69" s="219"/>
      <c r="X69" s="203"/>
      <c r="Y69" s="115"/>
      <c r="Z69" s="82">
        <f t="shared" si="23"/>
        <v>82944758.737291604</v>
      </c>
      <c r="AA69" s="150">
        <f t="shared" si="24"/>
        <v>68123099.317209587</v>
      </c>
      <c r="AB69" s="28">
        <f t="shared" si="25"/>
        <v>84560327.532558724</v>
      </c>
      <c r="AC69" s="150">
        <f t="shared" si="26"/>
        <v>95886760.91090183</v>
      </c>
      <c r="AD69" s="28">
        <f t="shared" si="18"/>
        <v>101649572.3138404</v>
      </c>
      <c r="AE69" s="150">
        <f t="shared" si="29"/>
        <v>91471363.181690961</v>
      </c>
      <c r="AF69" s="28">
        <f t="shared" si="27"/>
        <v>79324427.826449305</v>
      </c>
      <c r="AG69" s="150">
        <f t="shared" si="35"/>
        <v>0</v>
      </c>
      <c r="AH69" s="170">
        <v>37944637.859999999</v>
      </c>
      <c r="AI69" s="135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">
        <v>2937520</v>
      </c>
      <c r="M70" s="219">
        <v>305000</v>
      </c>
      <c r="N70" s="219">
        <v>1109140</v>
      </c>
      <c r="O70" s="203">
        <v>1153992.8</v>
      </c>
      <c r="P70" s="204"/>
      <c r="Q70" s="219"/>
      <c r="R70" s="204"/>
      <c r="S70" s="219"/>
      <c r="T70" s="204"/>
      <c r="U70" s="219"/>
      <c r="V70" s="204"/>
      <c r="W70" s="219"/>
      <c r="X70" s="203"/>
      <c r="Y70" s="115"/>
      <c r="Z70" s="82">
        <f t="shared" si="23"/>
        <v>25749028.322691254</v>
      </c>
      <c r="AA70" s="150">
        <f t="shared" si="24"/>
        <v>22901694.676577706</v>
      </c>
      <c r="AB70" s="28">
        <f t="shared" si="25"/>
        <v>23235745.698969599</v>
      </c>
      <c r="AC70" s="150">
        <f t="shared" si="26"/>
        <v>22458366.542311456</v>
      </c>
      <c r="AD70" s="28">
        <f t="shared" si="18"/>
        <v>22038400.316667631</v>
      </c>
      <c r="AE70" s="150">
        <f t="shared" si="29"/>
        <v>23941018.734304022</v>
      </c>
      <c r="AF70" s="28">
        <f t="shared" si="27"/>
        <v>26027628.262460023</v>
      </c>
      <c r="AG70" s="150">
        <f t="shared" si="35"/>
        <v>0</v>
      </c>
      <c r="AH70" s="170">
        <v>17757070.200000003</v>
      </c>
      <c r="AI70" s="135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">
        <v>3848469.83</v>
      </c>
      <c r="M71" s="219">
        <v>4008202.59</v>
      </c>
      <c r="N71" s="219">
        <v>4262574.25</v>
      </c>
      <c r="O71" s="203">
        <v>11512663.09</v>
      </c>
      <c r="P71" s="204">
        <v>3568937.25</v>
      </c>
      <c r="Q71" s="219"/>
      <c r="R71" s="204"/>
      <c r="S71" s="219"/>
      <c r="T71" s="204"/>
      <c r="U71" s="219"/>
      <c r="V71" s="204"/>
      <c r="W71" s="219"/>
      <c r="X71" s="203"/>
      <c r="Y71" s="115"/>
      <c r="Z71" s="82">
        <f t="shared" si="23"/>
        <v>10298741.149970515</v>
      </c>
      <c r="AA71" s="150">
        <f t="shared" si="24"/>
        <v>10451750.847577296</v>
      </c>
      <c r="AB71" s="28">
        <f t="shared" si="25"/>
        <v>7686727.1995765828</v>
      </c>
      <c r="AC71" s="150">
        <f t="shared" si="26"/>
        <v>7104756.557640384</v>
      </c>
      <c r="AD71" s="28">
        <f t="shared" si="18"/>
        <v>9773343.1522047594</v>
      </c>
      <c r="AE71" s="150">
        <f t="shared" si="29"/>
        <v>4478929.9955593096</v>
      </c>
      <c r="AF71" s="28">
        <f t="shared" si="27"/>
        <v>7627874.2982932767</v>
      </c>
      <c r="AG71" s="150">
        <f t="shared" si="35"/>
        <v>0</v>
      </c>
      <c r="AH71" s="170">
        <v>37588640.460000008</v>
      </c>
      <c r="AI71" s="135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"/>
      <c r="M72" s="219"/>
      <c r="N72" s="219"/>
      <c r="O72" s="203"/>
      <c r="P72" s="204"/>
      <c r="Q72" s="219"/>
      <c r="R72" s="204"/>
      <c r="S72" s="219"/>
      <c r="T72" s="204"/>
      <c r="U72" s="219"/>
      <c r="V72" s="204"/>
      <c r="W72" s="219"/>
      <c r="X72" s="203"/>
      <c r="Y72" s="115">
        <f t="shared" si="22"/>
        <v>0</v>
      </c>
      <c r="Z72" s="82">
        <f t="shared" si="23"/>
        <v>2220990.7118693194</v>
      </c>
      <c r="AA72" s="150">
        <f t="shared" si="24"/>
        <v>0</v>
      </c>
      <c r="AB72" s="28">
        <f t="shared" si="25"/>
        <v>0</v>
      </c>
      <c r="AC72" s="150">
        <f t="shared" si="26"/>
        <v>0</v>
      </c>
      <c r="AD72" s="28">
        <f t="shared" si="18"/>
        <v>0</v>
      </c>
      <c r="AE72" s="150">
        <f t="shared" si="29"/>
        <v>26117338.248799846</v>
      </c>
      <c r="AF72" s="28">
        <f t="shared" si="27"/>
        <v>535382.84206845774</v>
      </c>
      <c r="AG72" s="150">
        <f t="shared" si="35"/>
        <v>0</v>
      </c>
      <c r="AH72" s="170">
        <v>7721676.8899999997</v>
      </c>
      <c r="AI72" s="135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">
        <v>35218612.829999998</v>
      </c>
      <c r="M73" s="219">
        <v>18244747.34</v>
      </c>
      <c r="N73" s="219">
        <v>19753088.5</v>
      </c>
      <c r="O73" s="203">
        <v>18441177.510000002</v>
      </c>
      <c r="P73" s="204">
        <v>22282479.129999999</v>
      </c>
      <c r="Q73" s="219"/>
      <c r="R73" s="205"/>
      <c r="S73" s="219"/>
      <c r="T73" s="204"/>
      <c r="U73" s="219"/>
      <c r="V73" s="204"/>
      <c r="W73" s="219"/>
      <c r="X73" s="203"/>
      <c r="Y73" s="115"/>
      <c r="Z73" s="82">
        <f t="shared" si="23"/>
        <v>711871.92455825792</v>
      </c>
      <c r="AA73" s="150">
        <f t="shared" si="24"/>
        <v>1427289.9884329417</v>
      </c>
      <c r="AB73" s="28">
        <f t="shared" si="25"/>
        <v>1251616.6969043927</v>
      </c>
      <c r="AC73" s="150">
        <f t="shared" si="26"/>
        <v>1172305.3053018921</v>
      </c>
      <c r="AD73" s="28">
        <f t="shared" si="18"/>
        <v>1097941.1935809758</v>
      </c>
      <c r="AE73" s="150">
        <f t="shared" si="29"/>
        <v>2230550.6430693069</v>
      </c>
      <c r="AF73" s="28">
        <f t="shared" si="27"/>
        <v>149341608.86783734</v>
      </c>
      <c r="AG73" s="150">
        <f t="shared" si="35"/>
        <v>0</v>
      </c>
      <c r="AH73" s="170">
        <v>185145773.72999999</v>
      </c>
      <c r="AI73" s="135"/>
    </row>
    <row r="74" spans="1:36" x14ac:dyDescent="0.25">
      <c r="A74" s="17" t="s">
        <v>279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"/>
      <c r="M74" s="219"/>
      <c r="N74" s="219"/>
      <c r="O74" s="203"/>
      <c r="P74" s="204"/>
      <c r="Q74" s="219"/>
      <c r="R74" s="205"/>
      <c r="S74" s="219"/>
      <c r="T74" s="204"/>
      <c r="U74" s="219"/>
      <c r="V74" s="204"/>
      <c r="W74" s="219"/>
      <c r="X74" s="203"/>
      <c r="Y74" s="115">
        <f t="shared" si="22"/>
        <v>0</v>
      </c>
      <c r="Z74" s="82"/>
      <c r="AA74" s="150"/>
      <c r="AB74" s="28"/>
      <c r="AC74" s="150"/>
      <c r="AD74" s="28"/>
      <c r="AE74" s="150"/>
      <c r="AF74" s="28"/>
      <c r="AG74" s="150"/>
      <c r="AH74" s="170">
        <v>50000</v>
      </c>
      <c r="AI74" s="135"/>
    </row>
    <row r="75" spans="1:36" ht="17.25" x14ac:dyDescent="0.4">
      <c r="A75" s="87" t="s">
        <v>243</v>
      </c>
      <c r="B75" s="110"/>
      <c r="C75" s="108">
        <f t="shared" ref="C75:E75" si="36">SUM(C76)</f>
        <v>424149.4</v>
      </c>
      <c r="D75" s="109">
        <f t="shared" si="36"/>
        <v>0</v>
      </c>
      <c r="E75" s="109">
        <f t="shared" si="36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109">
        <v>365164.94</v>
      </c>
      <c r="M75" s="226">
        <f>SUM(M76)</f>
        <v>413107.66000000003</v>
      </c>
      <c r="N75" s="226">
        <f>SUM(N76)</f>
        <v>359150.4</v>
      </c>
      <c r="O75" s="226">
        <f>SUM(O76)</f>
        <v>355800.19</v>
      </c>
      <c r="P75" s="226">
        <f>SUM(P76)</f>
        <v>391364.85000000003</v>
      </c>
      <c r="Q75" s="226"/>
      <c r="R75" s="223"/>
      <c r="S75" s="226"/>
      <c r="T75" s="223"/>
      <c r="U75" s="226"/>
      <c r="V75" s="223"/>
      <c r="W75" s="226"/>
      <c r="X75" s="234"/>
      <c r="Y75" s="116">
        <f t="shared" ref="Y75:Y92" si="37">SUM(M75:X75)</f>
        <v>1519423.1</v>
      </c>
      <c r="Z75" s="108">
        <f>$Z$6*C75</f>
        <v>593956.80364232801</v>
      </c>
      <c r="AA75" s="194">
        <f>$AA$6*D75</f>
        <v>0</v>
      </c>
      <c r="AB75" s="109">
        <f>$AB$6*E75</f>
        <v>4330167.4705180945</v>
      </c>
      <c r="AC75" s="194">
        <f>$AC$6*$F75</f>
        <v>4947133.2882395657</v>
      </c>
      <c r="AD75" s="109">
        <f>$AD$6*G75</f>
        <v>6624946.2998544481</v>
      </c>
      <c r="AE75" s="194">
        <f>$AE$6*H75</f>
        <v>6621110.1378085818</v>
      </c>
      <c r="AF75" s="91">
        <f>$AF$6*I75</f>
        <v>6179989.7163112881</v>
      </c>
      <c r="AG75" s="155">
        <f>$AG$6*Y75</f>
        <v>1631178.309110377</v>
      </c>
      <c r="AH75" s="174">
        <v>2597844.54</v>
      </c>
      <c r="AI75" s="135"/>
      <c r="AJ75" s="143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">
        <v>365164.94</v>
      </c>
      <c r="M76" s="219">
        <v>413107.66000000003</v>
      </c>
      <c r="N76" s="219">
        <v>359150.4</v>
      </c>
      <c r="O76" s="203">
        <v>355800.19</v>
      </c>
      <c r="P76" s="204">
        <v>391364.85000000003</v>
      </c>
      <c r="Q76" s="219"/>
      <c r="R76" s="204"/>
      <c r="S76" s="219"/>
      <c r="T76" s="204"/>
      <c r="U76" s="219"/>
      <c r="V76" s="204"/>
      <c r="W76" s="219"/>
      <c r="X76" s="203"/>
      <c r="Y76" s="146"/>
      <c r="Z76" s="82">
        <f>$Z$6*C76</f>
        <v>593956.80364232801</v>
      </c>
      <c r="AA76" s="150">
        <f>$AA$6*D76</f>
        <v>0</v>
      </c>
      <c r="AB76" s="28">
        <f>$AB$6*E76</f>
        <v>4330167.4705180945</v>
      </c>
      <c r="AC76" s="150">
        <f>$AC$6*$F76</f>
        <v>4947133.2882395657</v>
      </c>
      <c r="AD76" s="28">
        <f>$AD$6*G76</f>
        <v>6624946.2998544481</v>
      </c>
      <c r="AE76" s="150">
        <f>$AE$6*H76</f>
        <v>6621110.1378085818</v>
      </c>
      <c r="AF76" s="28">
        <f>$AF$6*I76</f>
        <v>6179989.7163112881</v>
      </c>
      <c r="AG76" s="150">
        <f>$AG$6*Y76</f>
        <v>0</v>
      </c>
      <c r="AH76" s="172">
        <v>2597844.54</v>
      </c>
      <c r="AI76" s="138"/>
      <c r="AJ76" s="143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"/>
      <c r="M77" s="219"/>
      <c r="N77" s="219"/>
      <c r="O77" s="234"/>
      <c r="P77" s="223"/>
      <c r="Q77" s="226"/>
      <c r="R77" s="223"/>
      <c r="S77" s="226"/>
      <c r="T77" s="223"/>
      <c r="U77" s="226"/>
      <c r="V77" s="223"/>
      <c r="W77" s="226"/>
      <c r="X77" s="234"/>
      <c r="Y77" s="116">
        <f t="shared" si="37"/>
        <v>0</v>
      </c>
      <c r="Z77" s="82"/>
      <c r="AA77" s="150"/>
      <c r="AB77" s="28"/>
      <c r="AC77" s="150"/>
      <c r="AD77" s="28"/>
      <c r="AE77" s="150"/>
      <c r="AF77" s="28"/>
      <c r="AG77" s="150">
        <f t="shared" ref="AG77:AG82" si="38">$AF$6*Y77</f>
        <v>0</v>
      </c>
      <c r="AH77" s="174">
        <v>0</v>
      </c>
      <c r="AI77" s="138"/>
      <c r="AJ77" s="143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"/>
      <c r="M78" s="219"/>
      <c r="N78" s="219"/>
      <c r="O78" s="203"/>
      <c r="P78" s="204"/>
      <c r="Q78" s="219"/>
      <c r="R78" s="204"/>
      <c r="S78" s="219"/>
      <c r="T78" s="204"/>
      <c r="U78" s="219"/>
      <c r="V78" s="204"/>
      <c r="W78" s="219"/>
      <c r="X78" s="203"/>
      <c r="Y78" s="115">
        <f t="shared" si="37"/>
        <v>0</v>
      </c>
      <c r="Z78" s="82"/>
      <c r="AA78" s="150"/>
      <c r="AB78" s="28"/>
      <c r="AC78" s="150"/>
      <c r="AD78" s="28"/>
      <c r="AE78" s="150"/>
      <c r="AF78" s="28"/>
      <c r="AG78" s="150">
        <f t="shared" si="38"/>
        <v>0</v>
      </c>
      <c r="AH78" s="175">
        <v>0</v>
      </c>
      <c r="AI78" s="138"/>
      <c r="AJ78" s="143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">
        <v>0</v>
      </c>
      <c r="M79" s="238">
        <f>SUM(M80)</f>
        <v>5370</v>
      </c>
      <c r="N79" s="238">
        <f>SUM(N80)</f>
        <v>5370</v>
      </c>
      <c r="O79" s="238">
        <f>SUM(O80)</f>
        <v>5370</v>
      </c>
      <c r="P79" s="238">
        <f>SUM(P80)</f>
        <v>0</v>
      </c>
      <c r="Q79" s="226"/>
      <c r="R79" s="223"/>
      <c r="S79" s="226"/>
      <c r="T79" s="223"/>
      <c r="U79" s="226"/>
      <c r="V79" s="223"/>
      <c r="W79" s="226"/>
      <c r="X79" s="234"/>
      <c r="Y79" s="147">
        <f t="shared" si="37"/>
        <v>16110</v>
      </c>
      <c r="Z79" s="82"/>
      <c r="AA79" s="150"/>
      <c r="AB79" s="28"/>
      <c r="AC79" s="150"/>
      <c r="AD79" s="28"/>
      <c r="AE79" s="150"/>
      <c r="AF79" s="28"/>
      <c r="AG79" s="156">
        <f>$AG$6*Y79</f>
        <v>17294.907889558985</v>
      </c>
      <c r="AH79" s="174">
        <v>113813.22</v>
      </c>
      <c r="AI79" s="138"/>
      <c r="AJ79" s="143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"/>
      <c r="M80" s="219">
        <v>5370</v>
      </c>
      <c r="N80" s="219">
        <v>5370</v>
      </c>
      <c r="O80" s="203">
        <v>5370</v>
      </c>
      <c r="P80" s="204"/>
      <c r="Q80" s="219"/>
      <c r="R80" s="204"/>
      <c r="S80" s="219"/>
      <c r="T80" s="204"/>
      <c r="U80" s="219"/>
      <c r="V80" s="204"/>
      <c r="W80" s="219"/>
      <c r="X80" s="203"/>
      <c r="Y80" s="146">
        <f t="shared" ref="Y80" si="39">SUM(M80:X80)</f>
        <v>16110</v>
      </c>
      <c r="Z80" s="82"/>
      <c r="AA80" s="150"/>
      <c r="AB80" s="28"/>
      <c r="AC80" s="150"/>
      <c r="AD80" s="28"/>
      <c r="AE80" s="150"/>
      <c r="AF80" s="28"/>
      <c r="AG80" s="150">
        <f>$AG$6*Y80</f>
        <v>17294.907889558985</v>
      </c>
      <c r="AH80" s="172">
        <v>113813.22</v>
      </c>
      <c r="AI80" s="138"/>
      <c r="AJ80" s="143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"/>
      <c r="M81" s="219"/>
      <c r="N81" s="219"/>
      <c r="O81" s="203"/>
      <c r="P81" s="204"/>
      <c r="Q81" s="219"/>
      <c r="R81" s="204"/>
      <c r="S81" s="219"/>
      <c r="T81" s="204"/>
      <c r="U81" s="219"/>
      <c r="V81" s="204"/>
      <c r="W81" s="219"/>
      <c r="X81" s="203"/>
      <c r="Y81" s="115">
        <f t="shared" si="37"/>
        <v>0</v>
      </c>
      <c r="Z81" s="82"/>
      <c r="AA81" s="150"/>
      <c r="AB81" s="28"/>
      <c r="AC81" s="150"/>
      <c r="AD81" s="28"/>
      <c r="AE81" s="150"/>
      <c r="AF81" s="28"/>
      <c r="AG81" s="150">
        <f t="shared" si="38"/>
        <v>0</v>
      </c>
      <c r="AH81" s="175">
        <v>0</v>
      </c>
      <c r="AI81" s="138"/>
      <c r="AJ81" s="143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"/>
      <c r="M82" s="219"/>
      <c r="N82" s="219"/>
      <c r="O82" s="203"/>
      <c r="P82" s="204"/>
      <c r="Q82" s="219"/>
      <c r="R82" s="204"/>
      <c r="S82" s="219"/>
      <c r="T82" s="204"/>
      <c r="U82" s="219"/>
      <c r="V82" s="204"/>
      <c r="W82" s="219"/>
      <c r="X82" s="203"/>
      <c r="Y82" s="115">
        <f t="shared" si="37"/>
        <v>0</v>
      </c>
      <c r="Z82" s="82"/>
      <c r="AA82" s="150"/>
      <c r="AB82" s="28"/>
      <c r="AC82" s="150"/>
      <c r="AD82" s="28"/>
      <c r="AE82" s="150"/>
      <c r="AF82" s="28"/>
      <c r="AG82" s="150">
        <f t="shared" si="38"/>
        <v>0</v>
      </c>
      <c r="AH82" s="175">
        <v>0</v>
      </c>
      <c r="AI82" s="138"/>
      <c r="AJ82" s="3"/>
    </row>
    <row r="83" spans="1:36" ht="17.25" x14ac:dyDescent="0.4">
      <c r="A83" s="87" t="s">
        <v>244</v>
      </c>
      <c r="B83" s="89"/>
      <c r="C83" s="90">
        <f t="shared" ref="C83:F83" si="40">SUM(C84)</f>
        <v>5080255.03</v>
      </c>
      <c r="D83" s="91">
        <f t="shared" si="40"/>
        <v>0</v>
      </c>
      <c r="E83" s="91">
        <f t="shared" si="40"/>
        <v>0</v>
      </c>
      <c r="F83" s="91">
        <f t="shared" si="40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91">
        <v>0</v>
      </c>
      <c r="M83" s="227">
        <f>SUM(M84)</f>
        <v>0</v>
      </c>
      <c r="N83" s="227"/>
      <c r="O83" s="235"/>
      <c r="P83" s="224"/>
      <c r="Q83" s="227"/>
      <c r="R83" s="224"/>
      <c r="S83" s="227"/>
      <c r="T83" s="224"/>
      <c r="U83" s="227"/>
      <c r="V83" s="224"/>
      <c r="W83" s="227"/>
      <c r="X83" s="235"/>
      <c r="Y83" s="116">
        <f t="shared" si="37"/>
        <v>0</v>
      </c>
      <c r="Z83" s="90">
        <f>$Z$6*C83</f>
        <v>7114125.4456723481</v>
      </c>
      <c r="AA83" s="155">
        <f>$AA$6*D83</f>
        <v>0</v>
      </c>
      <c r="AB83" s="91">
        <f>$AB$6*E83</f>
        <v>0</v>
      </c>
      <c r="AC83" s="155">
        <f>$AC$6*$F83</f>
        <v>0</v>
      </c>
      <c r="AD83" s="91">
        <f>$AD$6*G83</f>
        <v>0</v>
      </c>
      <c r="AE83" s="155">
        <f t="shared" ref="AE83:AE93" si="41">$AE$6*H83</f>
        <v>0</v>
      </c>
      <c r="AF83" s="190">
        <f t="shared" ref="AF83:AF91" si="42">$AF$6*I83</f>
        <v>0</v>
      </c>
      <c r="AG83" s="156">
        <f t="shared" ref="AG83:AG89" si="43">$AG$6*Y83</f>
        <v>0</v>
      </c>
      <c r="AH83" s="174">
        <v>11827231.089999996</v>
      </c>
      <c r="AI83" s="135"/>
      <c r="AJ83" s="140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"/>
      <c r="M84" s="219"/>
      <c r="N84" s="219"/>
      <c r="O84" s="203"/>
      <c r="P84" s="204"/>
      <c r="Q84" s="219"/>
      <c r="R84" s="204"/>
      <c r="S84" s="219"/>
      <c r="T84" s="204"/>
      <c r="U84" s="219"/>
      <c r="V84" s="204"/>
      <c r="W84" s="219"/>
      <c r="X84" s="203"/>
      <c r="Y84" s="115">
        <f t="shared" ref="Y84" si="44">SUM(M84:X84)</f>
        <v>0</v>
      </c>
      <c r="Z84" s="82">
        <f>$Z$6*C84</f>
        <v>7114125.4456723481</v>
      </c>
      <c r="AA84" s="150">
        <f>$AA$6*D84</f>
        <v>0</v>
      </c>
      <c r="AB84" s="28">
        <f>$AB$6*E84</f>
        <v>0</v>
      </c>
      <c r="AC84" s="150">
        <f>$AC$6*$F84</f>
        <v>0</v>
      </c>
      <c r="AD84" s="28">
        <f>$AD$6*G84</f>
        <v>0</v>
      </c>
      <c r="AE84" s="150">
        <f t="shared" si="41"/>
        <v>0</v>
      </c>
      <c r="AF84" s="28">
        <f t="shared" si="42"/>
        <v>0</v>
      </c>
      <c r="AG84" s="150">
        <f t="shared" si="43"/>
        <v>0</v>
      </c>
      <c r="AH84" s="172">
        <v>11827231.089999996</v>
      </c>
      <c r="AI84" s="137"/>
      <c r="AJ84" s="3"/>
    </row>
    <row r="85" spans="1:36" ht="17.25" x14ac:dyDescent="0.4">
      <c r="A85" s="87" t="s">
        <v>245</v>
      </c>
      <c r="B85" s="89"/>
      <c r="C85" s="90">
        <f t="shared" ref="C85:F85" si="45">SUM(C86)</f>
        <v>3752773.55</v>
      </c>
      <c r="D85" s="91">
        <f t="shared" si="45"/>
        <v>0</v>
      </c>
      <c r="E85" s="91">
        <f t="shared" si="45"/>
        <v>0</v>
      </c>
      <c r="F85" s="91">
        <f t="shared" si="45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91">
        <v>2236228.7800000003</v>
      </c>
      <c r="M85" s="227">
        <f>SUM(M86:M87)</f>
        <v>3926861.87</v>
      </c>
      <c r="N85" s="227">
        <f>SUM(N86:N87)</f>
        <v>3124623.4000000004</v>
      </c>
      <c r="O85" s="227">
        <f>SUM(O86:O87)</f>
        <v>1952444.8</v>
      </c>
      <c r="P85" s="227">
        <f>SUM(P86:P87)</f>
        <v>0</v>
      </c>
      <c r="Q85" s="227"/>
      <c r="R85" s="224"/>
      <c r="S85" s="227"/>
      <c r="T85" s="224"/>
      <c r="U85" s="227"/>
      <c r="V85" s="224"/>
      <c r="W85" s="227"/>
      <c r="X85" s="235"/>
      <c r="Y85" s="116">
        <f>SUM(M85:X85)</f>
        <v>9003930.0700000003</v>
      </c>
      <c r="Z85" s="90">
        <f>$Z$6*C85</f>
        <v>5255189.2860191995</v>
      </c>
      <c r="AA85" s="155">
        <f>$AA$6*D85</f>
        <v>0</v>
      </c>
      <c r="AB85" s="91">
        <f>$AB$6*E85</f>
        <v>0</v>
      </c>
      <c r="AC85" s="155">
        <f>$AC$6*$F85</f>
        <v>0</v>
      </c>
      <c r="AD85" s="91">
        <f>$AD$6*G85</f>
        <v>6198626.0920730112</v>
      </c>
      <c r="AE85" s="155">
        <f t="shared" si="41"/>
        <v>4009010.0209190459</v>
      </c>
      <c r="AF85" s="91">
        <f t="shared" si="42"/>
        <v>20826282.833938867</v>
      </c>
      <c r="AG85" s="155">
        <f t="shared" si="43"/>
        <v>9666178.845728144</v>
      </c>
      <c r="AH85" s="174">
        <v>19238869.420000002</v>
      </c>
      <c r="AI85" s="135"/>
      <c r="AJ85" s="140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">
        <v>1956371.26</v>
      </c>
      <c r="M86" s="219">
        <v>1951569.87</v>
      </c>
      <c r="N86" s="219">
        <v>1951569.87</v>
      </c>
      <c r="O86" s="203">
        <v>1952444.8</v>
      </c>
      <c r="P86" s="204"/>
      <c r="Q86" s="219"/>
      <c r="R86" s="204"/>
      <c r="S86" s="219"/>
      <c r="T86" s="204"/>
      <c r="U86" s="219"/>
      <c r="V86" s="204"/>
      <c r="W86" s="219"/>
      <c r="X86" s="203"/>
      <c r="Y86" s="115">
        <f>SUM(M86:X86)</f>
        <v>5855584.54</v>
      </c>
      <c r="Z86" s="82">
        <f>$Z$6*C86</f>
        <v>5255189.2860191995</v>
      </c>
      <c r="AA86" s="150">
        <f>$AA$6*D86</f>
        <v>0</v>
      </c>
      <c r="AB86" s="28">
        <f>$AB$6*E86</f>
        <v>0</v>
      </c>
      <c r="AC86" s="150">
        <f>$AC$6*$F86</f>
        <v>0</v>
      </c>
      <c r="AD86" s="28">
        <f>$AD$6*G86</f>
        <v>6198626.0920730112</v>
      </c>
      <c r="AE86" s="150">
        <f t="shared" si="41"/>
        <v>3150897.2753492529</v>
      </c>
      <c r="AF86" s="28">
        <f t="shared" si="42"/>
        <v>5082622.1226831805</v>
      </c>
      <c r="AG86" s="150">
        <f t="shared" si="43"/>
        <v>6286269.1035894249</v>
      </c>
      <c r="AH86" s="172">
        <v>17745437</v>
      </c>
      <c r="AI86" s="137"/>
      <c r="AJ86" s="140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">
        <v>279857.52</v>
      </c>
      <c r="M87" s="219">
        <v>1975292</v>
      </c>
      <c r="N87" s="219">
        <v>1173053.53</v>
      </c>
      <c r="O87" s="203"/>
      <c r="P87" s="204"/>
      <c r="Q87" s="219"/>
      <c r="R87" s="204"/>
      <c r="S87" s="219"/>
      <c r="T87" s="204"/>
      <c r="U87" s="219"/>
      <c r="V87" s="204"/>
      <c r="W87" s="219"/>
      <c r="X87" s="203"/>
      <c r="Y87" s="115">
        <f>SUM(M87:X87)</f>
        <v>3148345.5300000003</v>
      </c>
      <c r="Z87" s="82"/>
      <c r="AA87" s="150"/>
      <c r="AB87" s="28"/>
      <c r="AC87" s="150"/>
      <c r="AD87" s="28"/>
      <c r="AE87" s="150">
        <f t="shared" si="41"/>
        <v>858112.74556979234</v>
      </c>
      <c r="AF87" s="28">
        <f t="shared" si="42"/>
        <v>15743660.711255688</v>
      </c>
      <c r="AG87" s="150">
        <f t="shared" si="43"/>
        <v>3379909.7421387197</v>
      </c>
      <c r="AH87" s="172">
        <v>1493432.4200000002</v>
      </c>
      <c r="AI87" s="137"/>
      <c r="AJ87" s="3"/>
    </row>
    <row r="88" spans="1:36" ht="17.25" x14ac:dyDescent="0.4">
      <c r="A88" s="87" t="s">
        <v>246</v>
      </c>
      <c r="B88" s="89"/>
      <c r="C88" s="90">
        <f t="shared" ref="C88:E88" si="46">SUM(C89)</f>
        <v>346276384.89999998</v>
      </c>
      <c r="D88" s="91">
        <f t="shared" si="46"/>
        <v>178768483.81999999</v>
      </c>
      <c r="E88" s="91">
        <f t="shared" si="46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91">
        <v>10419370.810000001</v>
      </c>
      <c r="M88" s="227">
        <f>SUM(M89)</f>
        <v>0</v>
      </c>
      <c r="N88" s="227">
        <f>SUM(N89)</f>
        <v>0</v>
      </c>
      <c r="O88" s="227">
        <f>SUM(O89)</f>
        <v>0</v>
      </c>
      <c r="P88" s="227">
        <f>SUM(P89)</f>
        <v>16734305.970000001</v>
      </c>
      <c r="Q88" s="227"/>
      <c r="R88" s="224"/>
      <c r="S88" s="227"/>
      <c r="T88" s="224"/>
      <c r="U88" s="227"/>
      <c r="V88" s="224"/>
      <c r="W88" s="227"/>
      <c r="X88" s="235"/>
      <c r="Y88" s="116">
        <f t="shared" si="37"/>
        <v>16734305.970000001</v>
      </c>
      <c r="Z88" s="90">
        <f>$Z$6*C88</f>
        <v>484907475.41320223</v>
      </c>
      <c r="AA88" s="155">
        <f>$AA$6*D88</f>
        <v>240523209.46932238</v>
      </c>
      <c r="AB88" s="91">
        <f>$AB$6*E88</f>
        <v>351706413.71188736</v>
      </c>
      <c r="AC88" s="155">
        <f>$AC$6*$F88</f>
        <v>445722917.50616622</v>
      </c>
      <c r="AD88" s="91">
        <f>$AD$6*G88</f>
        <v>421100734.25752538</v>
      </c>
      <c r="AE88" s="155">
        <f t="shared" si="41"/>
        <v>332237123.91123831</v>
      </c>
      <c r="AF88" s="91">
        <f t="shared" si="42"/>
        <v>182158764.83561236</v>
      </c>
      <c r="AG88" s="155">
        <f t="shared" si="43"/>
        <v>17965132.23754482</v>
      </c>
      <c r="AH88" s="176">
        <v>0</v>
      </c>
      <c r="AI88" s="135"/>
      <c r="AJ88" s="140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">
        <v>10419370.810000001</v>
      </c>
      <c r="M89" s="219"/>
      <c r="N89" s="219"/>
      <c r="O89" s="203"/>
      <c r="P89" s="204">
        <v>16734305.970000001</v>
      </c>
      <c r="Q89" s="219"/>
      <c r="R89" s="204"/>
      <c r="S89" s="219"/>
      <c r="T89" s="204"/>
      <c r="U89" s="219"/>
      <c r="V89" s="204"/>
      <c r="W89" s="219"/>
      <c r="X89" s="203"/>
      <c r="Y89" s="115"/>
      <c r="Z89" s="82">
        <f>$Z$6*C89</f>
        <v>484907475.41320223</v>
      </c>
      <c r="AA89" s="150">
        <f>$AA$6*D89</f>
        <v>240523209.46932238</v>
      </c>
      <c r="AB89" s="28">
        <f>$AB$6*E89</f>
        <v>351706413.71188736</v>
      </c>
      <c r="AC89" s="150">
        <f>$AC$6*$F89</f>
        <v>445722917.50616622</v>
      </c>
      <c r="AD89" s="28">
        <f>$AD$6*G89</f>
        <v>421100734.25752538</v>
      </c>
      <c r="AE89" s="150">
        <f t="shared" si="41"/>
        <v>332237123.91123831</v>
      </c>
      <c r="AF89" s="28">
        <f t="shared" si="42"/>
        <v>182158764.83561236</v>
      </c>
      <c r="AG89" s="158">
        <f t="shared" si="43"/>
        <v>0</v>
      </c>
      <c r="AH89" s="175">
        <v>0</v>
      </c>
      <c r="AI89" s="137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"/>
      <c r="M90" s="219"/>
      <c r="N90" s="219"/>
      <c r="O90" s="203"/>
      <c r="P90" s="204"/>
      <c r="Q90" s="219"/>
      <c r="R90" s="204"/>
      <c r="S90" s="219"/>
      <c r="T90" s="204"/>
      <c r="U90" s="219"/>
      <c r="V90" s="204"/>
      <c r="W90" s="219"/>
      <c r="X90" s="203"/>
      <c r="Y90" s="115">
        <f t="shared" si="37"/>
        <v>0</v>
      </c>
      <c r="Z90" s="82"/>
      <c r="AA90" s="150"/>
      <c r="AB90" s="28"/>
      <c r="AC90" s="150"/>
      <c r="AD90" s="28">
        <f>$AD$6*G90</f>
        <v>0</v>
      </c>
      <c r="AE90" s="150">
        <f t="shared" si="41"/>
        <v>0</v>
      </c>
      <c r="AF90" s="28">
        <f t="shared" si="42"/>
        <v>0</v>
      </c>
      <c r="AG90" s="150">
        <f>$AF$6*M90</f>
        <v>0</v>
      </c>
      <c r="AH90" s="170">
        <v>0</v>
      </c>
      <c r="AI90" s="135"/>
    </row>
    <row r="91" spans="1:36" ht="15.75" thickBot="1" x14ac:dyDescent="0.3">
      <c r="A91" s="20" t="s">
        <v>59</v>
      </c>
      <c r="B91" s="29"/>
      <c r="C91" s="118">
        <f>SUM(C39:C89)-C39-C46-C55-C65-C75-C83-C85-C88</f>
        <v>1184996739.9700007</v>
      </c>
      <c r="D91" s="119">
        <f>SUM(D39:D89)-D39-D46-D55-D65-D75-D83-D85-D88</f>
        <v>1127633894.8800004</v>
      </c>
      <c r="E91" s="119">
        <f>SUM(E39:E89)-E39-E46-E55-E65-E75-E83-E85-E88</f>
        <v>1245635038.9699998</v>
      </c>
      <c r="F91" s="119">
        <f>SUM(F39:F89)-F39-F46-F55-F65-F75-F83-F85-F88</f>
        <v>1416607309.0800006</v>
      </c>
      <c r="G91" s="119">
        <v>1525927207.7800002</v>
      </c>
      <c r="H91" s="119">
        <v>1542010297.4199998</v>
      </c>
      <c r="I91" s="145">
        <v>1585812368.54</v>
      </c>
      <c r="J91" s="148">
        <v>708203003.45391738</v>
      </c>
      <c r="K91" s="148">
        <v>1544593780.2800004</v>
      </c>
      <c r="L91" s="148">
        <v>192048548.90000001</v>
      </c>
      <c r="M91" s="228">
        <f>SUM(M39+M46+M55+M65+M75+M79+M83+M85+M88)</f>
        <v>150784887.59</v>
      </c>
      <c r="N91" s="228">
        <f>SUM(N39+N46+N55+N65+N75+N79+N83+N85+N88)</f>
        <v>164996414.70000002</v>
      </c>
      <c r="O91" s="228">
        <f>SUM(O39+O46+O55+O65+O75+O79+O83+O85+O88)</f>
        <v>165774087.21000001</v>
      </c>
      <c r="P91" s="228">
        <f>SUM(P39+P46+P55+P65+P75+P79+P83+P85+P88)</f>
        <v>172769243.69999999</v>
      </c>
      <c r="Q91" s="228"/>
      <c r="R91" s="225"/>
      <c r="S91" s="228"/>
      <c r="T91" s="225"/>
      <c r="U91" s="228"/>
      <c r="V91" s="225"/>
      <c r="W91" s="228"/>
      <c r="X91" s="236"/>
      <c r="Y91" s="160">
        <f>SUM(M91:X91)</f>
        <v>654324633.20000005</v>
      </c>
      <c r="Z91" s="118">
        <f>$Z$6*C91</f>
        <v>1659407925.6015935</v>
      </c>
      <c r="AA91" s="157">
        <f>$AA$6*D91</f>
        <v>1517169680.6245821</v>
      </c>
      <c r="AB91" s="119">
        <f>$AB$6*E91</f>
        <v>1640967697.1226232</v>
      </c>
      <c r="AC91" s="157">
        <f>$AC$6*$F91</f>
        <v>1805531525.1970465</v>
      </c>
      <c r="AD91" s="119">
        <f>$AD$6*G91</f>
        <v>1821494077.4123673</v>
      </c>
      <c r="AE91" s="157">
        <f t="shared" si="41"/>
        <v>1755874043.5812984</v>
      </c>
      <c r="AF91" s="119">
        <f t="shared" si="42"/>
        <v>1756079042.8822694</v>
      </c>
      <c r="AG91" s="157">
        <f>$AF$6*Y91</f>
        <v>724578643.98045588</v>
      </c>
      <c r="AH91" s="183">
        <v>1544593780.2800004</v>
      </c>
      <c r="AI91" s="135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"/>
      <c r="M92" s="219"/>
      <c r="N92" s="219"/>
      <c r="O92" s="203"/>
      <c r="P92" s="204"/>
      <c r="Q92" s="219"/>
      <c r="R92" s="204"/>
      <c r="S92" s="219"/>
      <c r="T92" s="204"/>
      <c r="U92" s="219"/>
      <c r="V92" s="204"/>
      <c r="W92" s="219"/>
      <c r="X92" s="203"/>
      <c r="Y92" s="115">
        <f t="shared" si="37"/>
        <v>0</v>
      </c>
      <c r="Z92" s="82"/>
      <c r="AA92" s="150"/>
      <c r="AB92" s="28"/>
      <c r="AC92" s="150">
        <f>$AC$6*$F92</f>
        <v>0</v>
      </c>
      <c r="AD92" s="28"/>
      <c r="AE92" s="150">
        <f t="shared" si="41"/>
        <v>0</v>
      </c>
      <c r="AF92" s="28">
        <f>$AF$6*Y92</f>
        <v>0</v>
      </c>
      <c r="AG92" s="150" t="e">
        <f>$AF$6*#REF!</f>
        <v>#REF!</v>
      </c>
      <c r="AH92" s="170">
        <v>0</v>
      </c>
      <c r="AI92" s="135"/>
    </row>
    <row r="93" spans="1:36" ht="15.75" thickBot="1" x14ac:dyDescent="0.3">
      <c r="A93" s="126" t="s">
        <v>231</v>
      </c>
      <c r="B93" s="127"/>
      <c r="C93" s="120">
        <f>+C35-C91</f>
        <v>40070393.929999113</v>
      </c>
      <c r="D93" s="121">
        <f>+D35-D91</f>
        <v>86958406.659999609</v>
      </c>
      <c r="E93" s="121">
        <f>+E35-E91</f>
        <v>-1326978.0699999332</v>
      </c>
      <c r="F93" s="121">
        <f>+F35-F91</f>
        <v>116979580.29999948</v>
      </c>
      <c r="G93" s="121">
        <v>96023888.079999685</v>
      </c>
      <c r="H93" s="121">
        <v>-1538012.370000124</v>
      </c>
      <c r="I93" s="121">
        <v>38886704.730000019</v>
      </c>
      <c r="J93" s="121">
        <v>223651442.40999997</v>
      </c>
      <c r="K93" s="121">
        <v>196689556.96999973</v>
      </c>
      <c r="L93" s="121">
        <v>-10916373.100000024</v>
      </c>
      <c r="M93" s="229">
        <f>M35-M91</f>
        <v>45602140.939999998</v>
      </c>
      <c r="N93" s="229">
        <f>N35-N91</f>
        <v>92541479.949999988</v>
      </c>
      <c r="O93" s="229">
        <f>O35-O91</f>
        <v>26985987.849999994</v>
      </c>
      <c r="P93" s="229">
        <f>P35-P91</f>
        <v>-9972626.8400000036</v>
      </c>
      <c r="Q93" s="228"/>
      <c r="R93" s="225"/>
      <c r="S93" s="228"/>
      <c r="T93" s="225"/>
      <c r="U93" s="228"/>
      <c r="V93" s="225"/>
      <c r="W93" s="228"/>
      <c r="X93" s="236"/>
      <c r="Y93" s="128">
        <f>SUM(M93:X93)</f>
        <v>155156981.89999998</v>
      </c>
      <c r="Z93" s="120">
        <f>$Z$6*C93</f>
        <v>56112499.745021954</v>
      </c>
      <c r="AA93" s="195">
        <f>$AA$6*D93</f>
        <v>116997776.19225772</v>
      </c>
      <c r="AB93" s="121">
        <f>$AB$6*E93</f>
        <v>-1748126.9228429741</v>
      </c>
      <c r="AC93" s="195">
        <f>$AC$6*$F93</f>
        <v>149095884.71143535</v>
      </c>
      <c r="AD93" s="121">
        <f>$AD$6*G93</f>
        <v>114623386.05410367</v>
      </c>
      <c r="AE93" s="195">
        <f t="shared" si="41"/>
        <v>-1751321.6375458606</v>
      </c>
      <c r="AF93" s="164">
        <f>$AF$6*I93</f>
        <v>43061921.181743748</v>
      </c>
      <c r="AG93" s="168">
        <f>$AG$6*Y93</f>
        <v>166568945.39928433</v>
      </c>
      <c r="AH93" s="183">
        <v>196689556.96999973</v>
      </c>
      <c r="AI93" s="135"/>
    </row>
    <row r="94" spans="1:36" s="107" customFormat="1" ht="15.75" thickBot="1" x14ac:dyDescent="0.3">
      <c r="A94" s="124"/>
      <c r="B94" s="125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206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117"/>
      <c r="Z94" s="186"/>
      <c r="AA94" s="196"/>
      <c r="AB94" s="187"/>
      <c r="AC94" s="196"/>
      <c r="AD94" s="187"/>
      <c r="AE94" s="196"/>
      <c r="AF94" s="187"/>
      <c r="AG94" s="185"/>
      <c r="AH94" s="177"/>
      <c r="AJ94" s="3"/>
    </row>
    <row r="95" spans="1:36" x14ac:dyDescent="0.25"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">
        <f t="shared" ref="Y95" si="47">Y8+Y14+Y17+Y20+Y25+Y29+Y31</f>
        <v>809481615.10000002</v>
      </c>
    </row>
    <row r="96" spans="1:36" x14ac:dyDescent="0.25"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">
        <f>Y39+Y46+Y55+Y65+Y75+Y77+Y79+Y85+Y88+Y83</f>
        <v>654324633.20000005</v>
      </c>
    </row>
    <row r="97" spans="13:25" x14ac:dyDescent="0.25"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">
        <f>+Y95-Y96</f>
        <v>155156981.89999998</v>
      </c>
    </row>
    <row r="98" spans="13:25" x14ac:dyDescent="0.25"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">
        <f>+Y93-Y97</f>
        <v>0</v>
      </c>
    </row>
    <row r="99" spans="13:25" x14ac:dyDescent="0.25"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</row>
    <row r="100" spans="13:25" x14ac:dyDescent="0.25"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</row>
    <row r="101" spans="13:25" x14ac:dyDescent="0.25"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">
        <v>509951953.40000004</v>
      </c>
    </row>
    <row r="102" spans="13:25" x14ac:dyDescent="0.25"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">
        <f>Y101-Y65</f>
        <v>315931797.57000005</v>
      </c>
    </row>
    <row r="103" spans="13:25" x14ac:dyDescent="0.25"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</row>
    <row r="104" spans="13:25" x14ac:dyDescent="0.25"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">
        <v>108327309.39</v>
      </c>
    </row>
    <row r="105" spans="13:25" x14ac:dyDescent="0.25"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">
        <f>Y104-Y85</f>
        <v>99323379.319999993</v>
      </c>
    </row>
    <row r="106" spans="13:25" x14ac:dyDescent="0.25"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</row>
    <row r="107" spans="13:25" x14ac:dyDescent="0.25"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">
        <v>85515454.620000005</v>
      </c>
    </row>
    <row r="108" spans="13:25" x14ac:dyDescent="0.25"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">
        <f>Y107-Y87</f>
        <v>82367109.090000004</v>
      </c>
    </row>
    <row r="109" spans="13:25" x14ac:dyDescent="0.25"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</row>
    <row r="110" spans="13:25" x14ac:dyDescent="0.25"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</row>
    <row r="111" spans="13:25" x14ac:dyDescent="0.25"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</row>
    <row r="112" spans="13:25" x14ac:dyDescent="0.25"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</row>
    <row r="113" spans="1:24" x14ac:dyDescent="0.25"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</row>
    <row r="114" spans="1:24" x14ac:dyDescent="0.25"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</row>
    <row r="115" spans="1:24" x14ac:dyDescent="0.25"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</row>
    <row r="116" spans="1:24" x14ac:dyDescent="0.25"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</row>
    <row r="117" spans="1:24" x14ac:dyDescent="0.25"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</row>
    <row r="118" spans="1:24" x14ac:dyDescent="0.25"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</row>
    <row r="124" spans="1:24" x14ac:dyDescent="0.25">
      <c r="A124" s="133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C3:H3"/>
    <mergeCell ref="Z3:AH3"/>
  </mergeCells>
  <pageMargins left="0.7" right="0.7" top="0.75" bottom="0.75" header="0.3" footer="0.3"/>
  <pageSetup orientation="portrait" r:id="rId1"/>
  <ignoredErrors>
    <ignoredError sqref="F8 Y8:Y9 F20 Y14 Y19:Y20 Y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Balanzas a Diciembre 2015</vt:lpstr>
      <vt:lpstr>Resultados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2023-05-24T17:28:55Z</dcterms:modified>
</cp:coreProperties>
</file>