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EEE76BA7-7B2B-4474-B109-60377B3A4EF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1" i="1" l="1"/>
  <c r="O88" i="1"/>
  <c r="P88" i="1"/>
  <c r="Q88" i="1"/>
  <c r="R88" i="1"/>
  <c r="S88" i="1"/>
  <c r="T88" i="1"/>
  <c r="U88" i="1"/>
  <c r="V88" i="1"/>
  <c r="V85" i="1"/>
  <c r="V79" i="1"/>
  <c r="V75" i="1"/>
  <c r="U69" i="1"/>
  <c r="U66" i="1"/>
  <c r="V65" i="1"/>
  <c r="U59" i="1"/>
  <c r="U55" i="1" s="1"/>
  <c r="V55" i="1"/>
  <c r="V46" i="1"/>
  <c r="U44" i="1"/>
  <c r="U42" i="1"/>
  <c r="V39" i="1"/>
  <c r="U40" i="1"/>
  <c r="V35" i="1"/>
  <c r="V25" i="1"/>
  <c r="U26" i="1"/>
  <c r="U25" i="1" s="1"/>
  <c r="U21" i="1"/>
  <c r="U20" i="1" s="1"/>
  <c r="V20" i="1"/>
  <c r="U18" i="1"/>
  <c r="V17" i="1"/>
  <c r="V14" i="1"/>
  <c r="T10" i="1"/>
  <c r="U12" i="1"/>
  <c r="V8" i="1"/>
  <c r="U85" i="1"/>
  <c r="U79" i="1"/>
  <c r="U75" i="1"/>
  <c r="U46" i="1"/>
  <c r="Z19" i="1"/>
  <c r="U17" i="1"/>
  <c r="U14" i="1"/>
  <c r="U8" i="1"/>
  <c r="U65" i="1" l="1"/>
  <c r="U39" i="1"/>
  <c r="U35" i="1"/>
  <c r="T91" i="1"/>
  <c r="T85" i="1"/>
  <c r="T79" i="1"/>
  <c r="T75" i="1"/>
  <c r="T65" i="1"/>
  <c r="T55" i="1"/>
  <c r="T46" i="1"/>
  <c r="T39" i="1"/>
  <c r="S91" i="1"/>
  <c r="S47" i="1"/>
  <c r="T25" i="1"/>
  <c r="T20" i="1"/>
  <c r="T17" i="1"/>
  <c r="T14" i="1"/>
  <c r="T8" i="1"/>
  <c r="T35" i="1" l="1"/>
  <c r="S18" i="1"/>
  <c r="S17" i="1" s="1"/>
  <c r="S25" i="1"/>
  <c r="S20" i="1"/>
  <c r="S14" i="1"/>
  <c r="S8" i="1"/>
  <c r="U91" i="1"/>
  <c r="W91" i="1"/>
  <c r="X91" i="1"/>
  <c r="Y91" i="1"/>
  <c r="S85" i="1"/>
  <c r="S79" i="1"/>
  <c r="S75" i="1"/>
  <c r="S65" i="1"/>
  <c r="S55" i="1"/>
  <c r="S46" i="1"/>
  <c r="S39" i="1"/>
  <c r="Q71" i="1"/>
  <c r="R75" i="1"/>
  <c r="R85" i="1"/>
  <c r="R79" i="1"/>
  <c r="Q79" i="1"/>
  <c r="Q73" i="1"/>
  <c r="R65" i="1"/>
  <c r="Q59" i="1"/>
  <c r="R55" i="1"/>
  <c r="Q56" i="1"/>
  <c r="R46" i="1"/>
  <c r="Q42" i="1"/>
  <c r="R39" i="1"/>
  <c r="Q41" i="1"/>
  <c r="Q40" i="1"/>
  <c r="R25" i="1"/>
  <c r="R20" i="1"/>
  <c r="R17" i="1"/>
  <c r="Q18" i="1"/>
  <c r="R14" i="1"/>
  <c r="Q13" i="1"/>
  <c r="R8" i="1"/>
  <c r="P91" i="1"/>
  <c r="S35" i="1" l="1"/>
  <c r="R91" i="1"/>
  <c r="R35" i="1"/>
  <c r="Q85" i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91" i="1"/>
  <c r="Q91" i="1" l="1"/>
  <c r="Q35" i="1"/>
  <c r="P79" i="1"/>
  <c r="P75" i="1"/>
  <c r="P65" i="1"/>
  <c r="P55" i="1"/>
  <c r="P46" i="1"/>
  <c r="P39" i="1"/>
  <c r="P25" i="1"/>
  <c r="P20" i="1"/>
  <c r="P17" i="1"/>
  <c r="P14" i="1"/>
  <c r="P8" i="1"/>
  <c r="O25" i="1"/>
  <c r="Z25" i="1" s="1"/>
  <c r="O17" i="1"/>
  <c r="O20" i="1"/>
  <c r="O35" i="1" s="1"/>
  <c r="O14" i="1"/>
  <c r="O8" i="1"/>
  <c r="O79" i="1"/>
  <c r="O75" i="1"/>
  <c r="O65" i="1"/>
  <c r="O55" i="1"/>
  <c r="O46" i="1"/>
  <c r="N39" i="1"/>
  <c r="O39" i="1"/>
  <c r="Z70" i="1"/>
  <c r="Z74" i="1"/>
  <c r="Z51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25" i="1"/>
  <c r="N20" i="1"/>
  <c r="N35" i="1" s="1"/>
  <c r="N8" i="1"/>
  <c r="N14" i="1"/>
  <c r="N17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24" i="1"/>
  <c r="Z29" i="1"/>
  <c r="Z30" i="1"/>
  <c r="Z31" i="1"/>
  <c r="Z32" i="1"/>
  <c r="Z33" i="1"/>
  <c r="Z34" i="1"/>
  <c r="Z14" i="1"/>
  <c r="Z9" i="1"/>
  <c r="Z8" i="1"/>
  <c r="Z20" i="1" l="1"/>
  <c r="P35" i="1"/>
  <c r="U93" i="1"/>
  <c r="S93" i="1"/>
  <c r="T93" i="1"/>
  <c r="Z17" i="1"/>
  <c r="Z65" i="1"/>
  <c r="O93" i="1"/>
  <c r="Z39" i="1"/>
  <c r="N91" i="1"/>
  <c r="N93" i="1" s="1"/>
  <c r="P93" i="1"/>
  <c r="Q93" i="1"/>
  <c r="V93" i="1"/>
  <c r="R93" i="1"/>
  <c r="Z35" i="1" l="1"/>
  <c r="Z91" i="1"/>
  <c r="Z93" i="1" l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<sst xmlns="http://schemas.openxmlformats.org/spreadsheetml/2006/main" count="1008" uniqueCount="267">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</sst>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18" fillId="6" borderId="5" xfId="1" applyFont="1" applyFill="1" applyBorder="1"/>
    <xf numFmtId="43" fontId="25" fillId="6" borderId="0" xfId="1" applyFont="1" applyFill="1" applyBorder="1"/>
    <xf numFmtId="43" fontId="25" fillId="0" borderId="20" xfId="1" applyFont="1" applyFill="1" applyBorder="1"/>
    <xf numFmtId="43" fontId="25" fillId="0" borderId="0" xfId="1" applyFont="1" applyFill="1" applyBorder="1"/>
    <xf numFmtId="43" fontId="26" fillId="6" borderId="0" xfId="1" applyFont="1" applyFill="1" applyBorder="1"/>
    <xf numFmtId="43" fontId="26" fillId="0" borderId="20" xfId="1" applyFont="1" applyFill="1" applyBorder="1"/>
    <xf numFmtId="43" fontId="27" fillId="6" borderId="1" xfId="1" applyFont="1" applyFill="1" applyBorder="1"/>
    <xf numFmtId="43" fontId="27" fillId="0" borderId="21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25" fillId="0" borderId="12" xfId="1" applyFont="1" applyFill="1" applyBorder="1"/>
    <xf numFmtId="43" fontId="27" fillId="0" borderId="25" xfId="1" applyFont="1" applyFill="1" applyBorder="1"/>
    <xf numFmtId="43" fontId="4" fillId="0" borderId="19" xfId="1" applyFont="1" applyFill="1" applyBorder="1"/>
    <xf numFmtId="0" fontId="17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3" t="s">
        <v>78</v>
      </c>
      <c r="K6" s="173"/>
      <c r="L6" s="173" t="s">
        <v>79</v>
      </c>
      <c r="M6" s="173"/>
      <c r="N6" s="173" t="s">
        <v>80</v>
      </c>
      <c r="O6" s="173"/>
      <c r="Q6" s="38" t="s">
        <v>77</v>
      </c>
      <c r="R6" s="173" t="s">
        <v>78</v>
      </c>
      <c r="S6" s="173"/>
      <c r="T6" s="173" t="s">
        <v>79</v>
      </c>
      <c r="U6" s="173"/>
      <c r="V6" s="173" t="s">
        <v>80</v>
      </c>
      <c r="W6" s="173"/>
      <c r="Y6" s="39"/>
      <c r="Z6" s="173" t="s">
        <v>78</v>
      </c>
      <c r="AA6" s="173"/>
      <c r="AB6" s="173" t="s">
        <v>79</v>
      </c>
      <c r="AC6" s="173"/>
      <c r="AD6" s="173" t="s">
        <v>80</v>
      </c>
      <c r="AE6" s="173"/>
      <c r="AG6" s="39"/>
      <c r="AH6" s="173" t="s">
        <v>78</v>
      </c>
      <c r="AI6" s="173"/>
      <c r="AJ6" s="173" t="s">
        <v>79</v>
      </c>
      <c r="AK6" s="173"/>
      <c r="AL6" s="173" t="s">
        <v>80</v>
      </c>
      <c r="AM6" s="173"/>
      <c r="AO6" s="40"/>
      <c r="AP6" s="173" t="s">
        <v>78</v>
      </c>
      <c r="AQ6" s="173"/>
      <c r="AR6" s="173" t="s">
        <v>79</v>
      </c>
      <c r="AS6" s="173"/>
      <c r="AT6" s="173" t="s">
        <v>80</v>
      </c>
      <c r="AU6" s="173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70" zoomScaleNormal="70" workbookViewId="0">
      <pane xSplit="1" ySplit="3" topLeftCell="N5" activePane="bottomRight" state="frozen"/>
      <selection activeCell="A2" sqref="A2"/>
      <selection pane="topRight" activeCell="B2" sqref="B2"/>
      <selection pane="bottomLeft" activeCell="A5" sqref="A5"/>
      <selection pane="bottomRight" activeCell="T14" sqref="T14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20.5703125" style="2" customWidth="1"/>
    <col min="20" max="20" width="22.28515625" style="2" customWidth="1"/>
    <col min="21" max="21" width="19.85546875" style="2" customWidth="1"/>
    <col min="22" max="22" width="18.42578125" style="2" customWidth="1"/>
    <col min="23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0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6" t="s">
        <v>2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4" t="s">
        <v>266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42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3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65"/>
      <c r="I5" s="165"/>
      <c r="J5" s="165"/>
      <c r="K5" s="165"/>
      <c r="L5" s="165"/>
      <c r="M5" s="165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2"/>
    </row>
    <row r="6" spans="1:26" x14ac:dyDescent="0.25">
      <c r="B6" s="25"/>
      <c r="C6" s="81"/>
      <c r="D6" s="82"/>
      <c r="E6" s="82"/>
      <c r="F6" s="82"/>
      <c r="G6" s="82"/>
      <c r="H6" s="165"/>
      <c r="I6" s="165"/>
      <c r="J6" s="165"/>
      <c r="K6" s="165"/>
      <c r="L6" s="165"/>
      <c r="M6" s="165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3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3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6">
        <v>322636320.00999999</v>
      </c>
      <c r="I8" s="166">
        <v>318185545.47000003</v>
      </c>
      <c r="J8" s="166">
        <v>221192455.30000001</v>
      </c>
      <c r="K8" s="166">
        <v>389276726.77000004</v>
      </c>
      <c r="L8" s="166">
        <v>441039853.73000002</v>
      </c>
      <c r="M8" s="166">
        <v>429295418.04000002</v>
      </c>
      <c r="N8" s="167">
        <f t="shared" ref="N8:V8" si="0">SUM(N9:N13)</f>
        <v>88131101.409999996</v>
      </c>
      <c r="O8" s="167">
        <f t="shared" si="0"/>
        <v>83205553.039999992</v>
      </c>
      <c r="P8" s="167">
        <f t="shared" si="0"/>
        <v>24878332.600000001</v>
      </c>
      <c r="Q8" s="167">
        <f t="shared" si="0"/>
        <v>24758827.25</v>
      </c>
      <c r="R8" s="167">
        <f t="shared" si="0"/>
        <v>17173229.07</v>
      </c>
      <c r="S8" s="167">
        <f t="shared" si="0"/>
        <v>36426637.960000001</v>
      </c>
      <c r="T8" s="167">
        <f t="shared" si="0"/>
        <v>21043181.620000001</v>
      </c>
      <c r="U8" s="179">
        <f t="shared" si="0"/>
        <v>19623510.690000001</v>
      </c>
      <c r="V8" s="167">
        <f t="shared" si="0"/>
        <v>32341228.560000002</v>
      </c>
      <c r="W8" s="139"/>
      <c r="X8" s="130"/>
      <c r="Y8" s="139"/>
      <c r="Z8" s="154">
        <f>SUM( N8:Y8)</f>
        <v>347581602.19999999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5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>
        <v>18468606.240000002</v>
      </c>
      <c r="Q10" s="127">
        <v>13438185.880000001</v>
      </c>
      <c r="R10" s="129">
        <v>11316184.65</v>
      </c>
      <c r="S10" s="127">
        <v>24363467.57</v>
      </c>
      <c r="T10" s="129">
        <f>13380274.66</f>
        <v>13380274.66</v>
      </c>
      <c r="U10" s="127">
        <v>13225524.790000001</v>
      </c>
      <c r="V10" s="129">
        <v>17586913.580000002</v>
      </c>
      <c r="W10" s="122"/>
      <c r="X10" s="144"/>
      <c r="Y10" s="122"/>
      <c r="Z10" s="155"/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>
        <v>4456737.8499999996</v>
      </c>
      <c r="P11" s="129"/>
      <c r="Q11" s="127">
        <v>5097764.58</v>
      </c>
      <c r="R11" s="129">
        <v>1452002.98</v>
      </c>
      <c r="S11" s="127">
        <v>8047101.1600000001</v>
      </c>
      <c r="T11" s="129">
        <v>4078551.92</v>
      </c>
      <c r="U11" s="127">
        <v>3020295.69</v>
      </c>
      <c r="V11" s="129">
        <v>10916980.189999999</v>
      </c>
      <c r="W11" s="127"/>
      <c r="X11" s="129"/>
      <c r="Y11" s="127"/>
      <c r="Z11" s="155"/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2451159.41</v>
      </c>
      <c r="P12" s="129">
        <v>1210141.6599999999</v>
      </c>
      <c r="Q12" s="127">
        <v>1316741.02</v>
      </c>
      <c r="R12" s="129">
        <v>835611.45000000007</v>
      </c>
      <c r="S12" s="127">
        <v>771512.12</v>
      </c>
      <c r="T12" s="129">
        <v>883515.44000000006</v>
      </c>
      <c r="U12" s="127">
        <f>578273.53+14660.14</f>
        <v>592933.67000000004</v>
      </c>
      <c r="V12" s="129">
        <v>528032.49</v>
      </c>
      <c r="W12" s="127"/>
      <c r="X12" s="129"/>
      <c r="Y12" s="127"/>
      <c r="Z12" s="155"/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10732711.140000001</v>
      </c>
      <c r="P13" s="129">
        <v>5199584.7</v>
      </c>
      <c r="Q13" s="127">
        <f>4906135.77</f>
        <v>4906135.7699999996</v>
      </c>
      <c r="R13" s="129">
        <v>3569429.99</v>
      </c>
      <c r="S13" s="127">
        <v>3244557.11</v>
      </c>
      <c r="T13" s="129">
        <v>2700839.6</v>
      </c>
      <c r="U13" s="127">
        <v>2784756.54</v>
      </c>
      <c r="V13" s="129">
        <v>3309302.3000000003</v>
      </c>
      <c r="W13" s="127"/>
      <c r="X13" s="129"/>
      <c r="Y13" s="127"/>
      <c r="Z13" s="155"/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66">
        <v>49195560.280000009</v>
      </c>
      <c r="I14" s="166">
        <v>56188486.119999997</v>
      </c>
      <c r="J14" s="166">
        <v>27022194.649999999</v>
      </c>
      <c r="K14" s="166">
        <v>45997661.43</v>
      </c>
      <c r="L14" s="166">
        <v>63559834.149999991</v>
      </c>
      <c r="M14" s="166">
        <v>78793691.700000003</v>
      </c>
      <c r="N14" s="167">
        <f t="shared" ref="N14:V14" si="2">SUM(N15:N16)</f>
        <v>22271749.759999998</v>
      </c>
      <c r="O14" s="167">
        <f t="shared" si="2"/>
        <v>6362527.1600000001</v>
      </c>
      <c r="P14" s="167">
        <f t="shared" si="2"/>
        <v>11057080.33</v>
      </c>
      <c r="Q14" s="167">
        <f t="shared" si="2"/>
        <v>6282672.7299999995</v>
      </c>
      <c r="R14" s="167">
        <f t="shared" si="2"/>
        <v>4715196.7300000004</v>
      </c>
      <c r="S14" s="167">
        <f t="shared" si="2"/>
        <v>2428973.5</v>
      </c>
      <c r="T14" s="167">
        <f t="shared" si="2"/>
        <v>2549337.2199999997</v>
      </c>
      <c r="U14" s="179">
        <f t="shared" si="2"/>
        <v>4325012.88</v>
      </c>
      <c r="V14" s="167">
        <f t="shared" si="2"/>
        <v>3285329.65</v>
      </c>
      <c r="W14" s="139"/>
      <c r="X14" s="130"/>
      <c r="Y14" s="139"/>
      <c r="Z14" s="156">
        <f t="shared" ref="Z14:Z34" si="3">SUM(N14:Y14 )</f>
        <v>63277879.959999993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>
        <v>443155.49</v>
      </c>
      <c r="Q15" s="127">
        <v>487731.05</v>
      </c>
      <c r="R15" s="129">
        <v>486462.48</v>
      </c>
      <c r="S15" s="127">
        <v>665453.43000000005</v>
      </c>
      <c r="T15" s="129">
        <v>419687.65</v>
      </c>
      <c r="U15" s="127">
        <v>372595.15</v>
      </c>
      <c r="V15" s="129">
        <v>406821.57</v>
      </c>
      <c r="W15" s="127"/>
      <c r="X15" s="129"/>
      <c r="Y15" s="127"/>
      <c r="Z15" s="155"/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>
        <v>10613924.84</v>
      </c>
      <c r="Q16" s="127">
        <v>5794941.6799999997</v>
      </c>
      <c r="R16" s="129">
        <v>4228734.25</v>
      </c>
      <c r="S16" s="127">
        <v>1763520.07</v>
      </c>
      <c r="T16" s="129">
        <v>2129649.5699999998</v>
      </c>
      <c r="U16" s="127">
        <v>3952417.73</v>
      </c>
      <c r="V16" s="129">
        <v>2878508.08</v>
      </c>
      <c r="W16" s="127"/>
      <c r="X16" s="129"/>
      <c r="Y16" s="127"/>
      <c r="Z16" s="155"/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4">SUM(D18:D19)</f>
        <v>6006571.1699999999</v>
      </c>
      <c r="E17" s="98">
        <f t="shared" si="4"/>
        <v>5582390.8399999999</v>
      </c>
      <c r="F17" s="98">
        <v>8348631.21</v>
      </c>
      <c r="G17" s="98">
        <v>14340140.469999999</v>
      </c>
      <c r="H17" s="166">
        <v>7496906.3300000001</v>
      </c>
      <c r="I17" s="166">
        <v>9122636.1099999994</v>
      </c>
      <c r="J17" s="166">
        <v>3636560.91</v>
      </c>
      <c r="K17" s="166">
        <v>6285699.2400000002</v>
      </c>
      <c r="L17" s="166">
        <v>21611888.059999999</v>
      </c>
      <c r="M17" s="166">
        <v>21647654.510000002</v>
      </c>
      <c r="N17" s="167">
        <f t="shared" ref="N17:V17" si="5">SUM(N18)</f>
        <v>767159.26</v>
      </c>
      <c r="O17" s="167">
        <f t="shared" si="5"/>
        <v>1411085.19</v>
      </c>
      <c r="P17" s="167">
        <f t="shared" si="5"/>
        <v>1967997.24</v>
      </c>
      <c r="Q17" s="167">
        <f t="shared" si="5"/>
        <v>1964918.97</v>
      </c>
      <c r="R17" s="167">
        <f t="shared" si="5"/>
        <v>2584655.2599999998</v>
      </c>
      <c r="S17" s="167">
        <f t="shared" si="5"/>
        <v>1782583.24</v>
      </c>
      <c r="T17" s="167">
        <f t="shared" si="5"/>
        <v>2801727.95</v>
      </c>
      <c r="U17" s="179">
        <f t="shared" si="5"/>
        <v>1819915.9300000002</v>
      </c>
      <c r="V17" s="167">
        <f t="shared" si="5"/>
        <v>1502749.42</v>
      </c>
      <c r="W17" s="139"/>
      <c r="X17" s="130"/>
      <c r="Y17" s="139"/>
      <c r="Z17" s="156">
        <f t="shared" si="3"/>
        <v>16602792.459999999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767159.26</v>
      </c>
      <c r="O18" s="127">
        <v>1411085.19</v>
      </c>
      <c r="P18" s="129">
        <v>1967997.24</v>
      </c>
      <c r="Q18" s="127">
        <f>1942857.92+22061.05</f>
        <v>1964918.97</v>
      </c>
      <c r="R18" s="129">
        <v>2584655.2599999998</v>
      </c>
      <c r="S18" s="127">
        <f>1782586.24-3</f>
        <v>1782583.24</v>
      </c>
      <c r="T18" s="129">
        <v>2801727.95</v>
      </c>
      <c r="U18" s="127">
        <f>1741195.11+78720.82</f>
        <v>1819915.9300000002</v>
      </c>
      <c r="V18" s="129">
        <v>1502749.42</v>
      </c>
      <c r="W18" s="127"/>
      <c r="X18" s="129"/>
      <c r="Y18" s="127"/>
      <c r="Z18" s="155"/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5">
        <f t="shared" si="3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6">
        <v>40922007.630000003</v>
      </c>
      <c r="I20" s="166">
        <v>71594621.879999995</v>
      </c>
      <c r="J20" s="166">
        <v>72167210.460000008</v>
      </c>
      <c r="K20" s="166">
        <v>57803828.150000006</v>
      </c>
      <c r="L20" s="166">
        <v>53107301.030000001</v>
      </c>
      <c r="M20" s="166">
        <v>52885024.500000007</v>
      </c>
      <c r="N20" s="167">
        <f t="shared" ref="N20:V20" si="6">SUM(N21:N24)</f>
        <v>8512703.7799999993</v>
      </c>
      <c r="O20" s="167">
        <f t="shared" si="6"/>
        <v>7636925.5600000005</v>
      </c>
      <c r="P20" s="167">
        <f t="shared" si="6"/>
        <v>3448754.8400000003</v>
      </c>
      <c r="Q20" s="167">
        <f t="shared" si="6"/>
        <v>4790487.6100000003</v>
      </c>
      <c r="R20" s="167">
        <f t="shared" si="6"/>
        <v>3413819.59</v>
      </c>
      <c r="S20" s="167">
        <f t="shared" si="6"/>
        <v>3542853.77</v>
      </c>
      <c r="T20" s="167">
        <f t="shared" si="6"/>
        <v>2583509.61</v>
      </c>
      <c r="U20" s="179">
        <f t="shared" si="6"/>
        <v>3500068.95</v>
      </c>
      <c r="V20" s="167">
        <f t="shared" si="6"/>
        <v>2314782.8200000003</v>
      </c>
      <c r="W20" s="139"/>
      <c r="X20" s="130"/>
      <c r="Y20" s="139"/>
      <c r="Z20" s="156">
        <f t="shared" si="3"/>
        <v>39743906.530000001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>
        <v>848907.66</v>
      </c>
      <c r="Q21" s="127">
        <v>1035866.2100000001</v>
      </c>
      <c r="R21" s="129">
        <v>874421.98</v>
      </c>
      <c r="S21" s="127">
        <v>789457.37</v>
      </c>
      <c r="T21" s="129">
        <v>856369.43</v>
      </c>
      <c r="U21" s="127">
        <f>703134.99-14660.14</f>
        <v>688474.85</v>
      </c>
      <c r="V21" s="129">
        <v>722199.42</v>
      </c>
      <c r="W21" s="127"/>
      <c r="X21" s="129"/>
      <c r="Y21" s="127"/>
      <c r="Z21" s="155"/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82"/>
      <c r="V22" s="129"/>
      <c r="W22" s="127"/>
      <c r="X22" s="129"/>
      <c r="Y22" s="127"/>
      <c r="Z22" s="155"/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7471553.8700000001</v>
      </c>
      <c r="O23" s="127">
        <v>6719162.0200000005</v>
      </c>
      <c r="P23" s="129">
        <v>2599847.1800000002</v>
      </c>
      <c r="Q23" s="127">
        <v>3754621.4</v>
      </c>
      <c r="R23" s="129">
        <v>2539397.61</v>
      </c>
      <c r="S23" s="127">
        <v>2753396.4</v>
      </c>
      <c r="T23" s="129">
        <v>1727140.18</v>
      </c>
      <c r="U23" s="127">
        <v>2811594.1</v>
      </c>
      <c r="V23" s="129">
        <v>1592583.4000000001</v>
      </c>
      <c r="W23" s="127"/>
      <c r="X23" s="129"/>
      <c r="Y23" s="127"/>
      <c r="Z23" s="155"/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5">
        <f t="shared" si="3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7">SUM(C26:C30)</f>
        <v>729278324.88</v>
      </c>
      <c r="D25" s="98">
        <f t="shared" si="7"/>
        <v>849535921.20999992</v>
      </c>
      <c r="E25" s="98">
        <f t="shared" si="7"/>
        <v>839596076.45999992</v>
      </c>
      <c r="F25" s="98">
        <v>1071939683.95</v>
      </c>
      <c r="G25" s="98">
        <v>1171334909.6499999</v>
      </c>
      <c r="H25" s="166">
        <v>1097601837.5999999</v>
      </c>
      <c r="I25" s="166">
        <v>1154695284.6899998</v>
      </c>
      <c r="J25" s="166">
        <v>586208388.46000004</v>
      </c>
      <c r="K25" s="166">
        <v>1241919421.6599998</v>
      </c>
      <c r="L25" s="166">
        <v>1370368056.5900002</v>
      </c>
      <c r="M25" s="166">
        <v>1617250813.71</v>
      </c>
      <c r="N25" s="167">
        <f t="shared" ref="N25:V25" si="8">SUM(N26:N28)</f>
        <v>166898554.72999999</v>
      </c>
      <c r="O25" s="167">
        <f t="shared" si="8"/>
        <v>169187702.58000001</v>
      </c>
      <c r="P25" s="167">
        <f t="shared" si="8"/>
        <v>109497717.95999999</v>
      </c>
      <c r="Q25" s="167">
        <f t="shared" si="8"/>
        <v>158296908.33000001</v>
      </c>
      <c r="R25" s="167">
        <f t="shared" si="8"/>
        <v>150089730.25</v>
      </c>
      <c r="S25" s="167">
        <f t="shared" si="8"/>
        <v>135458923.91</v>
      </c>
      <c r="T25" s="167">
        <f t="shared" si="8"/>
        <v>145767139.43000001</v>
      </c>
      <c r="U25" s="179">
        <f t="shared" si="8"/>
        <v>121398686.2</v>
      </c>
      <c r="V25" s="167">
        <f t="shared" si="8"/>
        <v>114373801.44999999</v>
      </c>
      <c r="W25" s="139"/>
      <c r="X25" s="130"/>
      <c r="Y25" s="139"/>
      <c r="Z25" s="156">
        <f t="shared" si="3"/>
        <v>1270969164.8400002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106335771</v>
      </c>
      <c r="P26" s="129">
        <v>62548741</v>
      </c>
      <c r="Q26" s="127">
        <v>88093348</v>
      </c>
      <c r="R26" s="129">
        <v>103331301</v>
      </c>
      <c r="S26" s="127">
        <v>78858068</v>
      </c>
      <c r="T26" s="129">
        <v>95626827</v>
      </c>
      <c r="U26" s="127">
        <f>22622524+52103099</f>
        <v>74725623</v>
      </c>
      <c r="V26" s="129">
        <v>67614935</v>
      </c>
      <c r="W26" s="127"/>
      <c r="X26" s="129"/>
      <c r="Y26" s="127"/>
      <c r="Z26" s="155"/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>
        <v>46651532</v>
      </c>
      <c r="Q27" s="127">
        <v>46651532</v>
      </c>
      <c r="R27" s="129">
        <v>46651532</v>
      </c>
      <c r="S27" s="127">
        <v>46699205.700000003</v>
      </c>
      <c r="T27" s="129">
        <v>46664455.119999997</v>
      </c>
      <c r="U27" s="127">
        <v>46663974.399999999</v>
      </c>
      <c r="V27" s="129">
        <v>46660444.100000001</v>
      </c>
      <c r="W27" s="127"/>
      <c r="X27" s="129"/>
      <c r="Y27" s="127"/>
      <c r="Z27" s="155"/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>
        <v>297444.96000000002</v>
      </c>
      <c r="Q28" s="127">
        <v>23552028.330000002</v>
      </c>
      <c r="R28" s="129">
        <v>106897.25</v>
      </c>
      <c r="S28" s="127">
        <v>9901650.2100000009</v>
      </c>
      <c r="T28" s="129">
        <v>3475857.31</v>
      </c>
      <c r="U28" s="127">
        <v>9088.8000000000011</v>
      </c>
      <c r="V28" s="129">
        <v>98422.35</v>
      </c>
      <c r="W28" s="127"/>
      <c r="X28" s="129"/>
      <c r="Y28" s="127"/>
      <c r="Z28" s="155"/>
    </row>
    <row r="29" spans="1:26" s="94" customFormat="1" ht="17.25" x14ac:dyDescent="0.4">
      <c r="A29" s="89" t="s">
        <v>251</v>
      </c>
      <c r="B29" s="91"/>
      <c r="C29" s="92"/>
      <c r="D29" s="93">
        <f t="shared" ref="D29:H29" si="9">SUM(D30)</f>
        <v>31807008.559999999</v>
      </c>
      <c r="E29" s="93">
        <f t="shared" si="9"/>
        <v>18876550.5</v>
      </c>
      <c r="F29" s="93">
        <f t="shared" si="9"/>
        <v>41815903.75</v>
      </c>
      <c r="G29" s="98">
        <f t="shared" si="9"/>
        <v>25132947.600000001</v>
      </c>
      <c r="H29" s="166">
        <f t="shared" si="9"/>
        <v>22619653.199999999</v>
      </c>
      <c r="I29" s="166">
        <v>14912499</v>
      </c>
      <c r="J29" s="166">
        <v>0</v>
      </c>
      <c r="K29" s="166">
        <v>0</v>
      </c>
      <c r="L29" s="166">
        <v>0</v>
      </c>
      <c r="M29" s="166">
        <v>0</v>
      </c>
      <c r="N29" s="167"/>
      <c r="O29" s="168"/>
      <c r="P29" s="167"/>
      <c r="Q29" s="139"/>
      <c r="R29" s="130"/>
      <c r="S29" s="139"/>
      <c r="T29" s="130"/>
      <c r="U29" s="139"/>
      <c r="V29" s="130"/>
      <c r="W29" s="139"/>
      <c r="X29" s="130"/>
      <c r="Y29" s="139"/>
      <c r="Z29" s="156">
        <f t="shared" si="3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5">
        <f t="shared" si="3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10">SUM(C32:C33)</f>
        <v>15808357.029999999</v>
      </c>
      <c r="D31" s="98">
        <f t="shared" si="10"/>
        <v>4201344.5999999996</v>
      </c>
      <c r="E31" s="98">
        <f t="shared" si="10"/>
        <v>0</v>
      </c>
      <c r="F31" s="98">
        <f>SUM(F32:F33)</f>
        <v>0</v>
      </c>
      <c r="G31" s="98">
        <v>0</v>
      </c>
      <c r="H31" s="166">
        <v>0</v>
      </c>
      <c r="I31" s="169">
        <v>0</v>
      </c>
      <c r="J31" s="166">
        <v>0</v>
      </c>
      <c r="K31" s="166">
        <v>0</v>
      </c>
      <c r="L31" s="166">
        <v>0</v>
      </c>
      <c r="M31" s="166">
        <v>0</v>
      </c>
      <c r="N31" s="167"/>
      <c r="O31" s="168"/>
      <c r="P31" s="170"/>
      <c r="Q31" s="139"/>
      <c r="R31" s="130"/>
      <c r="S31" s="139"/>
      <c r="T31" s="130"/>
      <c r="U31" s="139"/>
      <c r="V31" s="130"/>
      <c r="W31" s="139"/>
      <c r="X31" s="130"/>
      <c r="Y31" s="139"/>
      <c r="Z31" s="156">
        <f t="shared" si="3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5">
        <f t="shared" si="3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5">
        <f t="shared" si="3"/>
        <v>0</v>
      </c>
    </row>
    <row r="34" spans="1:26" s="94" customFormat="1" ht="15.75" thickBot="1" x14ac:dyDescent="0.3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81"/>
      <c r="W34" s="124"/>
      <c r="X34" s="131"/>
      <c r="Y34" s="124"/>
      <c r="Z34" s="155">
        <f t="shared" si="3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1">
        <v>1540472285.0499997</v>
      </c>
      <c r="I35" s="171">
        <v>1624699073.27</v>
      </c>
      <c r="J35" s="171">
        <v>910226809.77999997</v>
      </c>
      <c r="K35" s="171">
        <v>1741283337.25</v>
      </c>
      <c r="L35" s="171">
        <v>1949686933.5600002</v>
      </c>
      <c r="M35" s="171">
        <v>2199872602.46</v>
      </c>
      <c r="N35" s="172">
        <f t="shared" ref="N35:V35" si="11">N8+N14+N17+N20+N25+N29+N31</f>
        <v>286581268.94</v>
      </c>
      <c r="O35" s="172">
        <f t="shared" si="11"/>
        <v>267803793.53</v>
      </c>
      <c r="P35" s="172">
        <f t="shared" si="11"/>
        <v>150849882.97</v>
      </c>
      <c r="Q35" s="172">
        <f t="shared" si="11"/>
        <v>196093814.89000002</v>
      </c>
      <c r="R35" s="172">
        <f t="shared" si="11"/>
        <v>177976630.90000001</v>
      </c>
      <c r="S35" s="172">
        <f t="shared" si="11"/>
        <v>179639972.38</v>
      </c>
      <c r="T35" s="172">
        <f t="shared" si="11"/>
        <v>174744895.83000001</v>
      </c>
      <c r="U35" s="172">
        <f t="shared" si="11"/>
        <v>150667194.65000001</v>
      </c>
      <c r="V35" s="180">
        <f t="shared" si="11"/>
        <v>153817891.89999998</v>
      </c>
      <c r="W35" s="132">
        <f t="shared" ref="W35:Y35" si="12">SUM( W8:W34)</f>
        <v>0</v>
      </c>
      <c r="X35" s="132">
        <f t="shared" si="12"/>
        <v>0</v>
      </c>
      <c r="Y35" s="132">
        <f t="shared" si="12"/>
        <v>0</v>
      </c>
      <c r="Z35" s="157">
        <f>SUM(Z8:Z34 )</f>
        <v>1738175345.9900002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3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3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3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13">SUM(D40:D45)</f>
        <v>401815547.27999997</v>
      </c>
      <c r="E39" s="88">
        <f t="shared" si="13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 t="shared" ref="N39:V39" si="14">SUM(N40:N45)</f>
        <v>51957201.689999998</v>
      </c>
      <c r="O39" s="135">
        <f t="shared" si="14"/>
        <v>53225004.429999992</v>
      </c>
      <c r="P39" s="135">
        <f t="shared" si="14"/>
        <v>49579750.720000006</v>
      </c>
      <c r="Q39" s="135">
        <f t="shared" si="14"/>
        <v>57512376.600000001</v>
      </c>
      <c r="R39" s="135">
        <f t="shared" si="14"/>
        <v>50798079.299999997</v>
      </c>
      <c r="S39" s="135">
        <f t="shared" si="14"/>
        <v>46789279.150000006</v>
      </c>
      <c r="T39" s="135">
        <f t="shared" si="14"/>
        <v>59475616.320000015</v>
      </c>
      <c r="U39" s="135">
        <f t="shared" si="14"/>
        <v>56875564.5</v>
      </c>
      <c r="V39" s="135">
        <f t="shared" si="14"/>
        <v>44086311.010000005</v>
      </c>
      <c r="W39" s="133"/>
      <c r="X39" s="135"/>
      <c r="Y39" s="133"/>
      <c r="Z39" s="158">
        <f>SUM( N39:Y39)</f>
        <v>470299183.71999997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>
        <f>35531353.31-33113.26</f>
        <v>35498240.050000004</v>
      </c>
      <c r="Q40" s="124">
        <f>35232671.51-22610.59</f>
        <v>35210060.919999994</v>
      </c>
      <c r="R40" s="131">
        <v>35827979.369999997</v>
      </c>
      <c r="S40" s="124">
        <v>35531041.109999999</v>
      </c>
      <c r="T40" s="131">
        <v>36449595.740000002</v>
      </c>
      <c r="U40" s="124">
        <f>37557645.72-18343.44</f>
        <v>37539302.280000001</v>
      </c>
      <c r="V40" s="131">
        <v>35169822.829999998</v>
      </c>
      <c r="W40" s="124"/>
      <c r="X40" s="131"/>
      <c r="Y40" s="124"/>
      <c r="Z40" s="153">
        <f>SUM(N40:Y40 )</f>
        <v>321961466.84999996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>
        <v>1031647.1900000001</v>
      </c>
      <c r="Q41" s="124">
        <f>1136908.29-15730.27</f>
        <v>1121178.02</v>
      </c>
      <c r="R41" s="131">
        <v>1093440.83</v>
      </c>
      <c r="S41" s="124">
        <v>1216773.8800000001</v>
      </c>
      <c r="T41" s="131">
        <v>1209320.81</v>
      </c>
      <c r="U41" s="124">
        <v>1278140.4099999999</v>
      </c>
      <c r="V41" s="131">
        <v>1278389.3400000001</v>
      </c>
      <c r="W41" s="124"/>
      <c r="X41" s="131"/>
      <c r="Y41" s="124"/>
      <c r="Z41" s="153">
        <f t="shared" ref="Z41:Z90" si="15">SUM(N41:Y41 )</f>
        <v>10995554.68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>
        <f>7387665.3-9074.52</f>
        <v>7378590.7800000003</v>
      </c>
      <c r="Q42" s="124">
        <f>5937510.5+4586972.41</f>
        <v>10524482.91</v>
      </c>
      <c r="R42" s="131">
        <v>8265459.0700000003</v>
      </c>
      <c r="S42" s="124">
        <v>8609799.5199999996</v>
      </c>
      <c r="T42" s="131">
        <v>6483813.1600000001</v>
      </c>
      <c r="U42" s="124">
        <f>6871403.39-326254.43</f>
        <v>6545148.96</v>
      </c>
      <c r="V42" s="131">
        <v>6207102.9800000004</v>
      </c>
      <c r="W42" s="124"/>
      <c r="X42" s="131"/>
      <c r="Y42" s="124"/>
      <c r="Z42" s="153">
        <f t="shared" si="15"/>
        <v>68742718.049999997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>
        <v>4282276.58</v>
      </c>
      <c r="Q43" s="124">
        <v>9165902.3500000015</v>
      </c>
      <c r="R43" s="131">
        <v>4266084.3499999996</v>
      </c>
      <c r="S43" s="124"/>
      <c r="T43" s="131">
        <v>13688045.310000001</v>
      </c>
      <c r="U43" s="124">
        <v>9541652.9199999999</v>
      </c>
      <c r="V43" s="131"/>
      <c r="W43" s="124"/>
      <c r="X43" s="131"/>
      <c r="Y43" s="124"/>
      <c r="Z43" s="153">
        <f t="shared" si="15"/>
        <v>54806831.730000004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>
        <v>104666.84</v>
      </c>
      <c r="Q44" s="125">
        <v>146675.20000000001</v>
      </c>
      <c r="R44" s="131">
        <v>34992.959999999999</v>
      </c>
      <c r="S44" s="124">
        <v>138675.20000000001</v>
      </c>
      <c r="T44" s="131">
        <v>262922.34000000003</v>
      </c>
      <c r="U44" s="124">
        <f>651544.89-25920.56</f>
        <v>625624.32999999996</v>
      </c>
      <c r="V44" s="131">
        <v>116466.74</v>
      </c>
      <c r="W44" s="124"/>
      <c r="X44" s="131"/>
      <c r="Y44" s="124"/>
      <c r="Z44" s="153">
        <f t="shared" si="15"/>
        <v>1838960.3299999998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>
        <f>1286651.92-2322.64</f>
        <v>1284329.28</v>
      </c>
      <c r="Q45" s="124">
        <v>1344077.2</v>
      </c>
      <c r="R45" s="131">
        <v>1310122.72</v>
      </c>
      <c r="S45" s="124">
        <v>1292989.4399999999</v>
      </c>
      <c r="T45" s="131">
        <v>1381918.96</v>
      </c>
      <c r="U45" s="124">
        <v>1345695.6</v>
      </c>
      <c r="V45" s="131">
        <v>1314529.1200000001</v>
      </c>
      <c r="W45" s="124"/>
      <c r="X45" s="131"/>
      <c r="Y45" s="124"/>
      <c r="Z45" s="153">
        <f t="shared" si="15"/>
        <v>11953652.079999998</v>
      </c>
    </row>
    <row r="46" spans="1:26" ht="16.5" x14ac:dyDescent="0.35">
      <c r="A46" s="85" t="s">
        <v>237</v>
      </c>
      <c r="B46" s="86"/>
      <c r="C46" s="87">
        <f t="shared" ref="C46:E46" si="16">SUM(C47:C54)</f>
        <v>84205665.870000005</v>
      </c>
      <c r="D46" s="88">
        <f t="shared" si="16"/>
        <v>95710716.840000004</v>
      </c>
      <c r="E46" s="88">
        <f t="shared" si="16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 t="shared" ref="N46:V46" si="17">SUM(N47:N54)</f>
        <v>23623804.52</v>
      </c>
      <c r="O46" s="136">
        <f t="shared" si="17"/>
        <v>28171798.030000001</v>
      </c>
      <c r="P46" s="136">
        <f t="shared" si="17"/>
        <v>26119518.869999997</v>
      </c>
      <c r="Q46" s="136">
        <f t="shared" si="17"/>
        <v>21132464.899999999</v>
      </c>
      <c r="R46" s="136">
        <f t="shared" si="17"/>
        <v>27931634.950000003</v>
      </c>
      <c r="S46" s="136">
        <f t="shared" si="17"/>
        <v>23089971.16</v>
      </c>
      <c r="T46" s="136">
        <f t="shared" si="17"/>
        <v>23835296.300000001</v>
      </c>
      <c r="U46" s="136">
        <f t="shared" si="17"/>
        <v>24636005.760000005</v>
      </c>
      <c r="V46" s="136">
        <f t="shared" si="17"/>
        <v>14333763.799999999</v>
      </c>
      <c r="W46" s="134"/>
      <c r="X46" s="136"/>
      <c r="Y46" s="134"/>
      <c r="Z46" s="159">
        <f t="shared" si="15"/>
        <v>212874258.29000002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>
        <v>1136224.8900000001</v>
      </c>
      <c r="Q47" s="124">
        <v>1351216.91</v>
      </c>
      <c r="R47" s="131">
        <v>532300.87</v>
      </c>
      <c r="S47" s="124">
        <f>547347.04+66793.78</f>
        <v>614140.82000000007</v>
      </c>
      <c r="T47" s="131">
        <v>545703.21</v>
      </c>
      <c r="U47" s="124">
        <v>545200.85</v>
      </c>
      <c r="V47" s="131">
        <v>368017.38</v>
      </c>
      <c r="W47" s="124"/>
      <c r="X47" s="131"/>
      <c r="Y47" s="124"/>
      <c r="Z47" s="153">
        <f t="shared" si="15"/>
        <v>6531672.5800000001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>
        <v>318511.65000000002</v>
      </c>
      <c r="Q48" s="124">
        <v>351659.46</v>
      </c>
      <c r="R48" s="131">
        <v>353838.69</v>
      </c>
      <c r="S48" s="124">
        <v>264451.09999999998</v>
      </c>
      <c r="T48" s="131">
        <v>280866.74</v>
      </c>
      <c r="U48" s="124">
        <v>229489.85</v>
      </c>
      <c r="V48" s="131">
        <v>334439.38</v>
      </c>
      <c r="W48" s="124"/>
      <c r="X48" s="131"/>
      <c r="Y48" s="124"/>
      <c r="Z48" s="153">
        <f t="shared" si="15"/>
        <v>2599398.9499999997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>
        <v>382910.63</v>
      </c>
      <c r="Q49" s="124">
        <v>547568.26</v>
      </c>
      <c r="R49" s="131">
        <v>390636.35000000003</v>
      </c>
      <c r="S49" s="124">
        <v>759679.95000000007</v>
      </c>
      <c r="T49" s="131">
        <v>285943.86</v>
      </c>
      <c r="U49" s="124">
        <v>473113.42</v>
      </c>
      <c r="V49" s="131">
        <v>367710.17</v>
      </c>
      <c r="W49" s="124"/>
      <c r="X49" s="131"/>
      <c r="Y49" s="124"/>
      <c r="Z49" s="153">
        <f t="shared" si="15"/>
        <v>4772607.88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>
        <v>3371469.84</v>
      </c>
      <c r="Q50" s="124">
        <v>140738.36000000002</v>
      </c>
      <c r="R50" s="131">
        <v>387861.11</v>
      </c>
      <c r="S50" s="124">
        <v>335053.08</v>
      </c>
      <c r="T50" s="131">
        <v>218161.88</v>
      </c>
      <c r="U50" s="124">
        <v>128818.14</v>
      </c>
      <c r="V50" s="131">
        <v>105794.28</v>
      </c>
      <c r="W50" s="124"/>
      <c r="X50" s="131"/>
      <c r="Y50" s="124"/>
      <c r="Z50" s="153">
        <f t="shared" si="15"/>
        <v>8284165.6800000006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23046661.07</v>
      </c>
      <c r="P51" s="131">
        <v>18520007.719999999</v>
      </c>
      <c r="Q51" s="124">
        <v>17738926.170000002</v>
      </c>
      <c r="R51" s="131">
        <v>24091219.550000001</v>
      </c>
      <c r="S51" s="124">
        <v>20417973.530000001</v>
      </c>
      <c r="T51" s="131">
        <v>21140405.52</v>
      </c>
      <c r="U51" s="124">
        <v>21743165.900000002</v>
      </c>
      <c r="V51" s="131">
        <v>12561546.220000001</v>
      </c>
      <c r="W51" s="124"/>
      <c r="X51" s="131"/>
      <c r="Y51" s="124"/>
      <c r="Z51" s="153">
        <f t="shared" si="15"/>
        <v>179248703.38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>
        <v>31700.880000000001</v>
      </c>
      <c r="Q52" s="124">
        <v>228334.4</v>
      </c>
      <c r="R52" s="131">
        <v>645918.80000000005</v>
      </c>
      <c r="S52" s="124"/>
      <c r="T52" s="131"/>
      <c r="U52" s="124">
        <v>117252.8</v>
      </c>
      <c r="V52" s="131"/>
      <c r="W52" s="124"/>
      <c r="X52" s="131"/>
      <c r="Y52" s="124"/>
      <c r="Z52" s="153">
        <f t="shared" si="15"/>
        <v>1023206.8800000001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3">
        <f t="shared" si="15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442602.43</v>
      </c>
      <c r="O54" s="124">
        <v>1251217.3900000001</v>
      </c>
      <c r="P54" s="131">
        <v>2358693.2600000002</v>
      </c>
      <c r="Q54" s="124">
        <v>774021.34</v>
      </c>
      <c r="R54" s="131">
        <v>1529859.58</v>
      </c>
      <c r="S54" s="124">
        <v>698672.68</v>
      </c>
      <c r="T54" s="131">
        <v>1364215.09</v>
      </c>
      <c r="U54" s="124">
        <v>1398964.8</v>
      </c>
      <c r="V54" s="131">
        <v>596256.37</v>
      </c>
      <c r="W54" s="124"/>
      <c r="X54" s="131"/>
      <c r="Y54" s="124"/>
      <c r="Z54" s="153">
        <f t="shared" si="15"/>
        <v>10414502.939999999</v>
      </c>
    </row>
    <row r="55" spans="1:26" ht="16.5" x14ac:dyDescent="0.35">
      <c r="A55" s="85" t="s">
        <v>238</v>
      </c>
      <c r="B55" s="86"/>
      <c r="C55" s="87">
        <f t="shared" ref="C55:E55" si="18">SUM(C56:C64)</f>
        <v>222882216.59999996</v>
      </c>
      <c r="D55" s="88">
        <f t="shared" si="18"/>
        <v>301845864.29000002</v>
      </c>
      <c r="E55" s="88">
        <f t="shared" si="18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 t="shared" ref="N55:V55" si="19">SUM(N56:N64)</f>
        <v>31825326.949999996</v>
      </c>
      <c r="O55" s="136">
        <f t="shared" si="19"/>
        <v>41687810.530000001</v>
      </c>
      <c r="P55" s="136">
        <f t="shared" si="19"/>
        <v>34522270.150000006</v>
      </c>
      <c r="Q55" s="136">
        <f t="shared" si="19"/>
        <v>34070285.740000002</v>
      </c>
      <c r="R55" s="136">
        <f t="shared" si="19"/>
        <v>43149969.919999994</v>
      </c>
      <c r="S55" s="136">
        <f t="shared" si="19"/>
        <v>22944320.790000003</v>
      </c>
      <c r="T55" s="136">
        <f t="shared" si="19"/>
        <v>43460702.82</v>
      </c>
      <c r="U55" s="136">
        <f t="shared" si="19"/>
        <v>37441632.050000012</v>
      </c>
      <c r="V55" s="136">
        <f t="shared" si="19"/>
        <v>20638246.620000001</v>
      </c>
      <c r="W55" s="134"/>
      <c r="X55" s="136"/>
      <c r="Y55" s="134"/>
      <c r="Z55" s="159">
        <f t="shared" si="15"/>
        <v>309740565.56999999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5179678.78</v>
      </c>
      <c r="O56" s="124">
        <v>4942002.99</v>
      </c>
      <c r="P56" s="131">
        <v>4835479.92</v>
      </c>
      <c r="Q56" s="124">
        <f>388252.9+495844</f>
        <v>884096.9</v>
      </c>
      <c r="R56" s="131">
        <v>10029505.029999999</v>
      </c>
      <c r="S56" s="124">
        <v>404640.73</v>
      </c>
      <c r="T56" s="131">
        <v>5322057.26</v>
      </c>
      <c r="U56" s="124">
        <v>6249938.8899999997</v>
      </c>
      <c r="V56" s="131">
        <v>350519.51</v>
      </c>
      <c r="W56" s="124"/>
      <c r="X56" s="131"/>
      <c r="Y56" s="124"/>
      <c r="Z56" s="153">
        <f t="shared" si="15"/>
        <v>38197920.009999998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>
        <v>7102371.2199999997</v>
      </c>
      <c r="Q57" s="124">
        <v>7367426.7400000002</v>
      </c>
      <c r="R57" s="131">
        <v>7522787.25</v>
      </c>
      <c r="S57" s="124">
        <v>6406492.8100000005</v>
      </c>
      <c r="T57" s="131">
        <v>6838824.1500000004</v>
      </c>
      <c r="U57" s="124">
        <v>6542609.1400000006</v>
      </c>
      <c r="V57" s="131">
        <v>9459398.8300000001</v>
      </c>
      <c r="W57" s="124"/>
      <c r="X57" s="131"/>
      <c r="Y57" s="124"/>
      <c r="Z57" s="153">
        <f t="shared" si="15"/>
        <v>69441010.439999998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1616009.34</v>
      </c>
      <c r="P58" s="131">
        <v>1966304.96</v>
      </c>
      <c r="Q58" s="124">
        <v>3557507.13</v>
      </c>
      <c r="R58" s="131">
        <v>2282044.14</v>
      </c>
      <c r="S58" s="124">
        <v>3197442.56</v>
      </c>
      <c r="T58" s="131">
        <v>2624627.33</v>
      </c>
      <c r="U58" s="124">
        <v>7980198.9800000004</v>
      </c>
      <c r="V58" s="131">
        <v>2726957.87</v>
      </c>
      <c r="W58" s="124"/>
      <c r="X58" s="131"/>
      <c r="Y58" s="124"/>
      <c r="Z58" s="153">
        <f t="shared" si="15"/>
        <v>31360322.920000002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4336019.58</v>
      </c>
      <c r="O59" s="124">
        <v>1534761.79</v>
      </c>
      <c r="P59" s="131">
        <v>536741.89</v>
      </c>
      <c r="Q59" s="124">
        <f>252687.88+3553.09</f>
        <v>256240.97</v>
      </c>
      <c r="R59" s="131">
        <v>526949.38</v>
      </c>
      <c r="S59" s="124">
        <v>544129.04</v>
      </c>
      <c r="T59" s="131">
        <v>211847.81</v>
      </c>
      <c r="U59" s="124">
        <f>203973.56+3564.69</f>
        <v>207538.25</v>
      </c>
      <c r="V59" s="131">
        <v>289109.56</v>
      </c>
      <c r="W59" s="124"/>
      <c r="X59" s="131"/>
      <c r="Y59" s="124"/>
      <c r="Z59" s="153">
        <f t="shared" si="15"/>
        <v>8443338.2699999996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>
        <v>15984173.890000001</v>
      </c>
      <c r="Q60" s="124">
        <v>17696920.539999999</v>
      </c>
      <c r="R60" s="131">
        <v>18971720.699999999</v>
      </c>
      <c r="S60" s="124">
        <v>9398590</v>
      </c>
      <c r="T60" s="131">
        <v>25322698.780000001</v>
      </c>
      <c r="U60" s="124">
        <v>13115260.390000001</v>
      </c>
      <c r="V60" s="131">
        <v>4074058.2600000002</v>
      </c>
      <c r="W60" s="124"/>
      <c r="X60" s="131"/>
      <c r="Y60" s="124"/>
      <c r="Z60" s="153">
        <f t="shared" si="15"/>
        <v>128709739.82000001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>
        <v>1525903.48</v>
      </c>
      <c r="Q61" s="124">
        <v>1643162.08</v>
      </c>
      <c r="R61" s="131">
        <v>1588952.8</v>
      </c>
      <c r="S61" s="124">
        <v>1558960</v>
      </c>
      <c r="T61" s="131">
        <v>1879257.97</v>
      </c>
      <c r="U61" s="124">
        <v>2042577.8800000001</v>
      </c>
      <c r="V61" s="131">
        <v>2001111.76</v>
      </c>
      <c r="W61" s="124"/>
      <c r="X61" s="131"/>
      <c r="Y61" s="124"/>
      <c r="Z61" s="153">
        <f t="shared" si="15"/>
        <v>13951531.780000001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>
        <v>12890</v>
      </c>
      <c r="Q62" s="124">
        <v>70272.009999999995</v>
      </c>
      <c r="R62" s="131">
        <v>48970.46</v>
      </c>
      <c r="S62" s="124">
        <v>21020.600000000002</v>
      </c>
      <c r="T62" s="131">
        <v>17232.490000000002</v>
      </c>
      <c r="U62" s="124">
        <v>128045.14</v>
      </c>
      <c r="V62" s="131">
        <v>170822.95</v>
      </c>
      <c r="W62" s="124"/>
      <c r="X62" s="131"/>
      <c r="Y62" s="124"/>
      <c r="Z62" s="153">
        <f t="shared" si="15"/>
        <v>538203.79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>
        <v>1312075.79</v>
      </c>
      <c r="Q63" s="124">
        <v>1858133.37</v>
      </c>
      <c r="R63" s="131">
        <v>1425242.16</v>
      </c>
      <c r="S63" s="124">
        <v>670391.05000000005</v>
      </c>
      <c r="T63" s="131">
        <v>483676.03</v>
      </c>
      <c r="U63" s="124">
        <v>372353.38</v>
      </c>
      <c r="V63" s="131">
        <v>828919.88</v>
      </c>
      <c r="W63" s="124"/>
      <c r="X63" s="131"/>
      <c r="Y63" s="124"/>
      <c r="Z63" s="153">
        <f t="shared" si="15"/>
        <v>11789273.540000001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804279</v>
      </c>
      <c r="O64" s="124">
        <v>724700</v>
      </c>
      <c r="P64" s="131">
        <f>524292+722037</f>
        <v>1246329</v>
      </c>
      <c r="Q64" s="124">
        <v>736526</v>
      </c>
      <c r="R64" s="131">
        <v>753798</v>
      </c>
      <c r="S64" s="124">
        <v>742654</v>
      </c>
      <c r="T64" s="131">
        <v>760481</v>
      </c>
      <c r="U64" s="124">
        <v>803110</v>
      </c>
      <c r="V64" s="131">
        <v>737348</v>
      </c>
      <c r="W64" s="124"/>
      <c r="X64" s="131"/>
      <c r="Y64" s="124"/>
      <c r="Z64" s="153">
        <f t="shared" si="15"/>
        <v>7309225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20">SUM(D66:D73)</f>
        <v>149493282.65000004</v>
      </c>
      <c r="E65" s="88">
        <f t="shared" si="20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 t="shared" ref="N65:V65" si="21">SUM(N66:N74)</f>
        <v>43986315.620000005</v>
      </c>
      <c r="O65" s="136">
        <f t="shared" si="21"/>
        <v>61604976.840000004</v>
      </c>
      <c r="P65" s="136">
        <f t="shared" si="21"/>
        <v>45617293.659999996</v>
      </c>
      <c r="Q65" s="136">
        <f t="shared" si="21"/>
        <v>50162947.219999999</v>
      </c>
      <c r="R65" s="136">
        <f t="shared" si="21"/>
        <v>55409780.600000009</v>
      </c>
      <c r="S65" s="136">
        <f t="shared" si="21"/>
        <v>42600729</v>
      </c>
      <c r="T65" s="136">
        <f t="shared" si="21"/>
        <v>48604033</v>
      </c>
      <c r="U65" s="136">
        <f t="shared" si="21"/>
        <v>45121041.829999998</v>
      </c>
      <c r="V65" s="136">
        <f t="shared" si="21"/>
        <v>43031753.659999996</v>
      </c>
      <c r="W65" s="134"/>
      <c r="X65" s="136"/>
      <c r="Y65" s="134"/>
      <c r="Z65" s="160">
        <f t="shared" si="15"/>
        <v>436138871.42999995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>
        <v>12318857.1</v>
      </c>
      <c r="Q66" s="124">
        <v>17410831.600000001</v>
      </c>
      <c r="R66" s="131">
        <v>17763827.370000001</v>
      </c>
      <c r="S66" s="124">
        <v>14277001.370000001</v>
      </c>
      <c r="T66" s="131">
        <v>13789418.73</v>
      </c>
      <c r="U66" s="124">
        <f>13110479.2+21308</f>
        <v>13131787.199999999</v>
      </c>
      <c r="V66" s="131">
        <v>12031320.93</v>
      </c>
      <c r="W66" s="124"/>
      <c r="X66" s="131"/>
      <c r="Y66" s="124"/>
      <c r="Z66" s="153">
        <f t="shared" si="15"/>
        <v>135972839.36000001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3">
        <f t="shared" si="15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>
        <v>60035.360000000001</v>
      </c>
      <c r="O68" s="124">
        <v>230519.1</v>
      </c>
      <c r="P68" s="131"/>
      <c r="Q68" s="124"/>
      <c r="R68" s="131">
        <v>1000000</v>
      </c>
      <c r="S68" s="124"/>
      <c r="T68" s="131">
        <v>106958.7</v>
      </c>
      <c r="U68" s="124"/>
      <c r="V68" s="131"/>
      <c r="W68" s="124"/>
      <c r="X68" s="131"/>
      <c r="Y68" s="124"/>
      <c r="Z68" s="153">
        <f t="shared" si="15"/>
        <v>1397513.16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6069402.79</v>
      </c>
      <c r="P69" s="131">
        <v>2118605.5</v>
      </c>
      <c r="Q69" s="124">
        <v>1750672.9100000001</v>
      </c>
      <c r="R69" s="131">
        <v>1681796.99</v>
      </c>
      <c r="S69" s="124">
        <v>3144141.6</v>
      </c>
      <c r="T69" s="131">
        <v>2386126.88</v>
      </c>
      <c r="U69" s="124">
        <f>2890335.89-50000</f>
        <v>2840335.89</v>
      </c>
      <c r="V69" s="131">
        <v>2564525.29</v>
      </c>
      <c r="W69" s="124"/>
      <c r="X69" s="131"/>
      <c r="Y69" s="124"/>
      <c r="Z69" s="153">
        <f t="shared" si="15"/>
        <v>25788878.050000001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>
        <v>347500</v>
      </c>
      <c r="Q70" s="124">
        <v>1914630</v>
      </c>
      <c r="R70" s="131">
        <v>2227692.6</v>
      </c>
      <c r="S70" s="124">
        <v>136305.4</v>
      </c>
      <c r="T70" s="131">
        <v>1026846.3</v>
      </c>
      <c r="U70" s="124">
        <v>1065072</v>
      </c>
      <c r="V70" s="131">
        <v>2023461.6</v>
      </c>
      <c r="W70" s="124"/>
      <c r="X70" s="131"/>
      <c r="Y70" s="124"/>
      <c r="Z70" s="153">
        <f t="shared" si="15"/>
        <v>10018436.5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4087490.43</v>
      </c>
      <c r="O71" s="124">
        <v>6585092.9199999999</v>
      </c>
      <c r="P71" s="131">
        <v>7342631.29</v>
      </c>
      <c r="Q71" s="124">
        <f>4080787.17</f>
        <v>4080787.17</v>
      </c>
      <c r="R71" s="131">
        <v>9435761.9900000002</v>
      </c>
      <c r="S71" s="124">
        <v>3689520.35</v>
      </c>
      <c r="T71" s="131">
        <v>4723984.1500000004</v>
      </c>
      <c r="U71" s="124">
        <v>3549392.5</v>
      </c>
      <c r="V71" s="131">
        <v>5319073.3</v>
      </c>
      <c r="W71" s="124"/>
      <c r="X71" s="131"/>
      <c r="Y71" s="124"/>
      <c r="Z71" s="153">
        <f t="shared" si="15"/>
        <v>48813734.100000001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>
        <v>2000</v>
      </c>
      <c r="S72" s="124"/>
      <c r="T72" s="131"/>
      <c r="U72" s="124"/>
      <c r="V72" s="131"/>
      <c r="W72" s="124"/>
      <c r="X72" s="131"/>
      <c r="Y72" s="124"/>
      <c r="Z72" s="153">
        <f t="shared" si="15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22532182.27</v>
      </c>
      <c r="O73" s="124">
        <v>26266575.73</v>
      </c>
      <c r="P73" s="131">
        <v>23489699.77</v>
      </c>
      <c r="Q73" s="124">
        <f>19076434.38+5929591.16</f>
        <v>25006025.539999999</v>
      </c>
      <c r="R73" s="131">
        <v>23298701.650000002</v>
      </c>
      <c r="S73" s="125">
        <v>21353760.280000001</v>
      </c>
      <c r="T73" s="131">
        <v>26570698.240000002</v>
      </c>
      <c r="U73" s="124">
        <v>24534454.240000002</v>
      </c>
      <c r="V73" s="131">
        <v>21093372.539999999</v>
      </c>
      <c r="W73" s="124"/>
      <c r="X73" s="131"/>
      <c r="Y73" s="124"/>
      <c r="Z73" s="153">
        <f t="shared" si="15"/>
        <v>214145470.26000002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3">
        <f t="shared" si="15"/>
        <v>0</v>
      </c>
    </row>
    <row r="75" spans="1:26" ht="17.25" x14ac:dyDescent="0.4">
      <c r="A75" s="84" t="s">
        <v>240</v>
      </c>
      <c r="B75" s="106"/>
      <c r="C75" s="104">
        <f t="shared" ref="C75:E75" si="22">SUM(C76)</f>
        <v>424149.4</v>
      </c>
      <c r="D75" s="105">
        <f t="shared" si="22"/>
        <v>0</v>
      </c>
      <c r="E75" s="105">
        <f t="shared" si="2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 t="shared" ref="N75:V75" si="23">SUM(N76)</f>
        <v>346420.61</v>
      </c>
      <c r="O75" s="135">
        <f t="shared" si="23"/>
        <v>317944.53000000003</v>
      </c>
      <c r="P75" s="135">
        <f t="shared" si="23"/>
        <v>342038.47000000003</v>
      </c>
      <c r="Q75" s="135">
        <f t="shared" si="23"/>
        <v>278200.75</v>
      </c>
      <c r="R75" s="135">
        <f t="shared" si="23"/>
        <v>281597.53999999998</v>
      </c>
      <c r="S75" s="135">
        <f t="shared" si="23"/>
        <v>293786.82</v>
      </c>
      <c r="T75" s="135">
        <f t="shared" si="23"/>
        <v>286992.16000000003</v>
      </c>
      <c r="U75" s="135">
        <f t="shared" si="23"/>
        <v>270866.78000000003</v>
      </c>
      <c r="V75" s="135">
        <f t="shared" si="23"/>
        <v>284334.58</v>
      </c>
      <c r="W75" s="133"/>
      <c r="X75" s="135"/>
      <c r="Y75" s="133"/>
      <c r="Z75" s="159">
        <f t="shared" si="15"/>
        <v>2702182.24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>
        <v>342038.47000000003</v>
      </c>
      <c r="Q76" s="124">
        <v>278200.75</v>
      </c>
      <c r="R76" s="131">
        <v>281597.53999999998</v>
      </c>
      <c r="S76" s="124">
        <v>293786.82</v>
      </c>
      <c r="T76" s="131">
        <v>286992.16000000003</v>
      </c>
      <c r="U76" s="124">
        <v>270866.78000000003</v>
      </c>
      <c r="V76" s="131">
        <v>284334.58</v>
      </c>
      <c r="W76" s="124"/>
      <c r="X76" s="131"/>
      <c r="Y76" s="124"/>
      <c r="Z76" s="153">
        <f t="shared" si="15"/>
        <v>2702182.24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4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59">
        <f t="shared" si="15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3">
        <f t="shared" si="15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8">
        <f t="shared" ref="N79:V79" si="24">SUM(N80)</f>
        <v>5628.78</v>
      </c>
      <c r="O79" s="148">
        <f t="shared" si="24"/>
        <v>5635.43</v>
      </c>
      <c r="P79" s="148">
        <f t="shared" si="24"/>
        <v>5635.43</v>
      </c>
      <c r="Q79" s="148">
        <f t="shared" si="24"/>
        <v>16.239999999999998</v>
      </c>
      <c r="R79" s="148">
        <f t="shared" si="24"/>
        <v>127936.73</v>
      </c>
      <c r="S79" s="148">
        <f t="shared" si="24"/>
        <v>5635.43</v>
      </c>
      <c r="T79" s="148">
        <f t="shared" si="24"/>
        <v>5635.43</v>
      </c>
      <c r="U79" s="148">
        <f t="shared" si="24"/>
        <v>5635.43</v>
      </c>
      <c r="V79" s="148">
        <f t="shared" si="24"/>
        <v>5635.43</v>
      </c>
      <c r="W79" s="149"/>
      <c r="X79" s="148"/>
      <c r="Y79" s="149"/>
      <c r="Z79" s="159">
        <f t="shared" si="15"/>
        <v>167394.32999999996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5628.78</v>
      </c>
      <c r="O80" s="124">
        <v>5635.43</v>
      </c>
      <c r="P80" s="131">
        <v>5635.43</v>
      </c>
      <c r="Q80" s="124">
        <v>16.239999999999998</v>
      </c>
      <c r="R80" s="131">
        <v>127936.73</v>
      </c>
      <c r="S80" s="124">
        <v>5635.43</v>
      </c>
      <c r="T80" s="131">
        <v>5635.43</v>
      </c>
      <c r="U80" s="124">
        <v>5635.43</v>
      </c>
      <c r="V80" s="131">
        <v>5635.43</v>
      </c>
      <c r="W80" s="124"/>
      <c r="X80" s="131"/>
      <c r="Y80" s="124"/>
      <c r="Z80" s="153">
        <f t="shared" si="15"/>
        <v>167394.32999999996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3">
        <f t="shared" si="15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3">
        <f t="shared" si="15"/>
        <v>0</v>
      </c>
    </row>
    <row r="83" spans="1:26" ht="17.25" x14ac:dyDescent="0.4">
      <c r="A83" s="84" t="s">
        <v>241</v>
      </c>
      <c r="B83" s="86"/>
      <c r="C83" s="87">
        <f t="shared" ref="C83:F83" si="25">SUM(C84)</f>
        <v>5080255.03</v>
      </c>
      <c r="D83" s="88">
        <f t="shared" si="25"/>
        <v>0</v>
      </c>
      <c r="E83" s="88">
        <f t="shared" si="25"/>
        <v>0</v>
      </c>
      <c r="F83" s="88">
        <f t="shared" si="25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59">
        <f t="shared" si="15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3">
        <f t="shared" si="15"/>
        <v>0</v>
      </c>
    </row>
    <row r="85" spans="1:26" ht="17.25" x14ac:dyDescent="0.4">
      <c r="A85" s="84" t="s">
        <v>242</v>
      </c>
      <c r="B85" s="86"/>
      <c r="C85" s="87">
        <f t="shared" ref="C85:F85" si="26">SUM(C86)</f>
        <v>3752773.55</v>
      </c>
      <c r="D85" s="88">
        <f t="shared" si="26"/>
        <v>0</v>
      </c>
      <c r="E85" s="88">
        <f t="shared" si="26"/>
        <v>0</v>
      </c>
      <c r="F85" s="88">
        <f t="shared" si="26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 t="shared" ref="N85:V85" si="27">SUM(N86:N87)</f>
        <v>0</v>
      </c>
      <c r="O85" s="136">
        <f t="shared" si="27"/>
        <v>0</v>
      </c>
      <c r="P85" s="136">
        <f t="shared" si="27"/>
        <v>6812019.0700000003</v>
      </c>
      <c r="Q85" s="136">
        <f t="shared" si="27"/>
        <v>2242379.2600000002</v>
      </c>
      <c r="R85" s="136">
        <f t="shared" si="27"/>
        <v>2248890.5300000003</v>
      </c>
      <c r="S85" s="136">
        <f t="shared" si="27"/>
        <v>2223487.63</v>
      </c>
      <c r="T85" s="136">
        <f t="shared" si="27"/>
        <v>2216970.91</v>
      </c>
      <c r="U85" s="136">
        <f t="shared" si="27"/>
        <v>2187741.7200000002</v>
      </c>
      <c r="V85" s="136">
        <f t="shared" si="27"/>
        <v>2206708.7200000002</v>
      </c>
      <c r="W85" s="134"/>
      <c r="X85" s="136"/>
      <c r="Y85" s="134"/>
      <c r="Z85" s="159">
        <f t="shared" si="15"/>
        <v>20138197.839999996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>
        <v>6812019.0700000003</v>
      </c>
      <c r="Q86" s="124">
        <v>2242379.2600000002</v>
      </c>
      <c r="R86" s="131">
        <v>2248890.5300000003</v>
      </c>
      <c r="S86" s="124">
        <v>2223487.63</v>
      </c>
      <c r="T86" s="131">
        <v>2216970.91</v>
      </c>
      <c r="U86" s="124">
        <v>2187741.7200000002</v>
      </c>
      <c r="V86" s="131">
        <v>2206708.7200000002</v>
      </c>
      <c r="W86" s="124"/>
      <c r="X86" s="131"/>
      <c r="Y86" s="124"/>
      <c r="Z86" s="153">
        <f t="shared" si="15"/>
        <v>20138197.839999996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3">
        <f t="shared" si="15"/>
        <v>0</v>
      </c>
    </row>
    <row r="88" spans="1:26" ht="17.25" x14ac:dyDescent="0.4">
      <c r="A88" s="84" t="s">
        <v>243</v>
      </c>
      <c r="B88" s="86"/>
      <c r="C88" s="87">
        <f t="shared" ref="C88:E88" si="28">SUM(C89)</f>
        <v>346276384.89999998</v>
      </c>
      <c r="D88" s="88">
        <f t="shared" si="28"/>
        <v>178768483.81999999</v>
      </c>
      <c r="E88" s="88">
        <f t="shared" si="28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6">
        <f t="shared" ref="O88:V88" si="29">SUM(O89)</f>
        <v>0</v>
      </c>
      <c r="P88" s="136">
        <f t="shared" si="29"/>
        <v>0</v>
      </c>
      <c r="Q88" s="136">
        <f t="shared" si="29"/>
        <v>0</v>
      </c>
      <c r="R88" s="136">
        <f t="shared" si="29"/>
        <v>0</v>
      </c>
      <c r="S88" s="136">
        <f t="shared" si="29"/>
        <v>0</v>
      </c>
      <c r="T88" s="136">
        <f t="shared" si="29"/>
        <v>0</v>
      </c>
      <c r="U88" s="136">
        <f t="shared" si="29"/>
        <v>0</v>
      </c>
      <c r="V88" s="136">
        <f t="shared" si="29"/>
        <v>58124760.149999999</v>
      </c>
      <c r="W88" s="134"/>
      <c r="X88" s="136"/>
      <c r="Y88" s="134"/>
      <c r="Z88" s="159">
        <f t="shared" si="15"/>
        <v>58124760.149999999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>
        <v>58124760.149999999</v>
      </c>
      <c r="W89" s="124"/>
      <c r="X89" s="131"/>
      <c r="Y89" s="124"/>
      <c r="Z89" s="153">
        <f t="shared" si="15"/>
        <v>58124760.149999999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3">
        <f t="shared" si="15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 t="shared" ref="N91:T91" si="30">N39+N46+N55+N65+N75+N83+N85+N88+N77+N79</f>
        <v>151744698.17000002</v>
      </c>
      <c r="O91" s="137">
        <f t="shared" si="30"/>
        <v>185013169.78999999</v>
      </c>
      <c r="P91" s="137">
        <f t="shared" si="30"/>
        <v>162998526.37</v>
      </c>
      <c r="Q91" s="137">
        <f t="shared" si="30"/>
        <v>165398670.71000001</v>
      </c>
      <c r="R91" s="137">
        <f t="shared" si="30"/>
        <v>179947889.56999996</v>
      </c>
      <c r="S91" s="137">
        <f t="shared" si="30"/>
        <v>137947209.98000002</v>
      </c>
      <c r="T91" s="137">
        <f t="shared" si="30"/>
        <v>177885246.94000003</v>
      </c>
      <c r="U91" s="137">
        <f t="shared" ref="U91:Y91" si="31">U39+U46+U55+U65+U75+U83+U85+U88+U77+U79</f>
        <v>166538488.07000002</v>
      </c>
      <c r="V91" s="137">
        <f t="shared" si="31"/>
        <v>182711513.97</v>
      </c>
      <c r="W91" s="137">
        <f t="shared" si="31"/>
        <v>0</v>
      </c>
      <c r="X91" s="137">
        <f t="shared" si="31"/>
        <v>0</v>
      </c>
      <c r="Y91" s="137">
        <f t="shared" si="31"/>
        <v>0</v>
      </c>
      <c r="Z91" s="161">
        <f>SUM(Z39:Z90 )</f>
        <v>3020370827.1400003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5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2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6">
        <v>-83593602.100000158</v>
      </c>
      <c r="N93" s="141">
        <f>(N35-N91)</f>
        <v>134836570.76999998</v>
      </c>
      <c r="O93" s="141">
        <f t="shared" ref="O93:Y93" si="32">(O35-O91)</f>
        <v>82790623.74000001</v>
      </c>
      <c r="P93" s="141">
        <f t="shared" si="32"/>
        <v>-12148643.400000006</v>
      </c>
      <c r="Q93" s="141">
        <f t="shared" si="32"/>
        <v>30695144.180000007</v>
      </c>
      <c r="R93" s="141">
        <f t="shared" si="32"/>
        <v>-1971258.6699999571</v>
      </c>
      <c r="S93" s="141">
        <f t="shared" si="32"/>
        <v>41692762.399999976</v>
      </c>
      <c r="T93" s="141">
        <f t="shared" si="32"/>
        <v>-3140351.1100000143</v>
      </c>
      <c r="U93" s="141">
        <f t="shared" si="32"/>
        <v>-15871293.420000017</v>
      </c>
      <c r="V93" s="141">
        <f t="shared" si="32"/>
        <v>-28893622.070000023</v>
      </c>
      <c r="W93" s="141">
        <f t="shared" si="32"/>
        <v>0</v>
      </c>
      <c r="X93" s="141">
        <f t="shared" si="32"/>
        <v>0</v>
      </c>
      <c r="Y93" s="141">
        <f t="shared" si="32"/>
        <v>0</v>
      </c>
      <c r="Z93" s="162">
        <f>(Z35-Z91)</f>
        <v>-1282195481.1500001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7"/>
      <c r="N94" s="150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63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 Z39:Z91 Z14 Z17 Z19:Z20 Z24:Z25 Z29:Z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2024-12-04T19:45:55Z</dcterms:modified>
</cp:coreProperties>
</file>